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\Documents\My Docs\UNM\Securities Analysis\Fall 2015\DIS\"/>
    </mc:Choice>
  </mc:AlternateContent>
  <bookViews>
    <workbookView xWindow="0" yWindow="0" windowWidth="28800" windowHeight="12435" activeTab="4"/>
  </bookViews>
  <sheets>
    <sheet name="IS" sheetId="4" r:id="rId1"/>
    <sheet name="BS" sheetId="2" r:id="rId2"/>
    <sheet name="CF" sheetId="3" r:id="rId3"/>
    <sheet name="working" sheetId="1" r:id="rId4"/>
    <sheet name="forecast" sheetId="5" r:id="rId5"/>
    <sheet name="Sheet1" sheetId="7" r:id="rId6"/>
    <sheet name="int exp + dep forecast" sheetId="6" r:id="rId7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5" l="1"/>
  <c r="P72" i="5"/>
  <c r="P54" i="5"/>
  <c r="P67" i="5"/>
  <c r="H84" i="5"/>
  <c r="I84" i="5"/>
  <c r="J84" i="5"/>
  <c r="K84" i="5"/>
  <c r="L81" i="5"/>
  <c r="L82" i="5"/>
  <c r="L84" i="5"/>
  <c r="L86" i="5"/>
  <c r="L87" i="5"/>
  <c r="L88" i="5"/>
  <c r="I82" i="5"/>
  <c r="J82" i="5"/>
  <c r="K82" i="5"/>
  <c r="H82" i="5"/>
  <c r="I78" i="5"/>
  <c r="J78" i="5"/>
  <c r="K78" i="5"/>
  <c r="L78" i="5"/>
  <c r="I79" i="5"/>
  <c r="J79" i="5"/>
  <c r="K79" i="5"/>
  <c r="L79" i="5"/>
  <c r="H79" i="5"/>
  <c r="H78" i="5"/>
  <c r="I77" i="5"/>
  <c r="J77" i="5"/>
  <c r="K77" i="5"/>
  <c r="L77" i="5"/>
  <c r="I80" i="5"/>
  <c r="J80" i="5"/>
  <c r="K80" i="5"/>
  <c r="L80" i="5"/>
  <c r="H80" i="5"/>
  <c r="H77" i="5"/>
  <c r="H73" i="5"/>
  <c r="I73" i="5"/>
  <c r="J73" i="5"/>
  <c r="K73" i="5"/>
  <c r="L73" i="5"/>
  <c r="I72" i="5"/>
  <c r="J72" i="5"/>
  <c r="K72" i="5"/>
  <c r="L72" i="5"/>
  <c r="H72" i="5"/>
  <c r="I71" i="5"/>
  <c r="J71" i="5"/>
  <c r="K71" i="5"/>
  <c r="L71" i="5"/>
  <c r="H71" i="5"/>
  <c r="P76" i="5"/>
  <c r="P75" i="5"/>
  <c r="P68" i="5"/>
  <c r="P61" i="5"/>
  <c r="P62" i="5"/>
  <c r="P63" i="5"/>
  <c r="P60" i="5"/>
  <c r="P58" i="5"/>
  <c r="P59" i="5"/>
  <c r="P57" i="5"/>
  <c r="P56" i="5"/>
  <c r="P64" i="5"/>
  <c r="P48" i="5"/>
  <c r="B14" i="7"/>
  <c r="C10" i="7"/>
  <c r="C11" i="7"/>
  <c r="C12" i="7"/>
  <c r="C13" i="7"/>
  <c r="C14" i="7"/>
  <c r="B6" i="7"/>
  <c r="C2" i="7"/>
  <c r="C3" i="7"/>
  <c r="C4" i="7"/>
  <c r="C5" i="7"/>
  <c r="C6" i="7"/>
  <c r="D5" i="7"/>
  <c r="D4" i="7"/>
  <c r="D3" i="7"/>
  <c r="D2" i="7"/>
  <c r="I39" i="5"/>
  <c r="J39" i="5"/>
  <c r="K39" i="5"/>
  <c r="L39" i="5"/>
  <c r="H39" i="5"/>
  <c r="I42" i="5"/>
  <c r="J42" i="5"/>
  <c r="K42" i="5"/>
  <c r="L42" i="5"/>
  <c r="H42" i="5"/>
  <c r="I33" i="5"/>
  <c r="J33" i="5"/>
  <c r="K33" i="5"/>
  <c r="L33" i="5"/>
  <c r="H33" i="5"/>
  <c r="C106" i="5"/>
  <c r="D106" i="5"/>
  <c r="E106" i="5"/>
  <c r="F106" i="5"/>
  <c r="G106" i="5"/>
  <c r="C107" i="5"/>
  <c r="D107" i="5"/>
  <c r="E107" i="5"/>
  <c r="F107" i="5"/>
  <c r="G107" i="5"/>
  <c r="B107" i="5"/>
  <c r="B106" i="5"/>
  <c r="C105" i="5"/>
  <c r="D105" i="5"/>
  <c r="E105" i="5"/>
  <c r="F105" i="5"/>
  <c r="G105" i="5"/>
  <c r="B105" i="5"/>
  <c r="C104" i="5"/>
  <c r="D104" i="5"/>
  <c r="E104" i="5"/>
  <c r="F104" i="5"/>
  <c r="G104" i="5"/>
  <c r="B104" i="5"/>
  <c r="C103" i="5"/>
  <c r="D103" i="5"/>
  <c r="E103" i="5"/>
  <c r="F103" i="5"/>
  <c r="G103" i="5"/>
  <c r="B103" i="5"/>
  <c r="C77" i="5"/>
  <c r="D77" i="5"/>
  <c r="E77" i="5"/>
  <c r="F77" i="5"/>
  <c r="G77" i="5"/>
  <c r="C73" i="5"/>
  <c r="D73" i="5"/>
  <c r="E73" i="5"/>
  <c r="F73" i="5"/>
  <c r="G73" i="5"/>
  <c r="D80" i="5"/>
  <c r="E80" i="5"/>
  <c r="F80" i="5"/>
  <c r="G80" i="5"/>
  <c r="C80" i="5"/>
  <c r="B77" i="5"/>
  <c r="B73" i="5"/>
  <c r="C98" i="5"/>
  <c r="C99" i="5"/>
  <c r="C100" i="5"/>
  <c r="D98" i="5"/>
  <c r="D99" i="5"/>
  <c r="D100" i="5"/>
  <c r="E98" i="5"/>
  <c r="E99" i="5"/>
  <c r="E100" i="5"/>
  <c r="F98" i="5"/>
  <c r="F99" i="5"/>
  <c r="F100" i="5"/>
  <c r="G98" i="5"/>
  <c r="G99" i="5"/>
  <c r="G100" i="5"/>
  <c r="B98" i="5"/>
  <c r="B99" i="5"/>
  <c r="B100" i="5"/>
  <c r="D63" i="5"/>
  <c r="D64" i="5"/>
  <c r="D65" i="5"/>
  <c r="D66" i="5"/>
  <c r="D67" i="5"/>
  <c r="D94" i="5"/>
  <c r="D85" i="5"/>
  <c r="D86" i="5"/>
  <c r="D87" i="5"/>
  <c r="D88" i="5"/>
  <c r="D95" i="5"/>
  <c r="D96" i="5"/>
  <c r="E63" i="5"/>
  <c r="E64" i="5"/>
  <c r="E65" i="5"/>
  <c r="E66" i="5"/>
  <c r="E67" i="5"/>
  <c r="E94" i="5"/>
  <c r="E85" i="5"/>
  <c r="E86" i="5"/>
  <c r="E87" i="5"/>
  <c r="E88" i="5"/>
  <c r="E95" i="5"/>
  <c r="E96" i="5"/>
  <c r="F63" i="5"/>
  <c r="F64" i="5"/>
  <c r="F65" i="5"/>
  <c r="F66" i="5"/>
  <c r="F67" i="5"/>
  <c r="F94" i="5"/>
  <c r="F85" i="5"/>
  <c r="F86" i="5"/>
  <c r="F87" i="5"/>
  <c r="F88" i="5"/>
  <c r="F95" i="5"/>
  <c r="F96" i="5"/>
  <c r="G63" i="5"/>
  <c r="G64" i="5"/>
  <c r="G65" i="5"/>
  <c r="G66" i="5"/>
  <c r="G67" i="5"/>
  <c r="G94" i="5"/>
  <c r="G85" i="5"/>
  <c r="G86" i="5"/>
  <c r="G87" i="5"/>
  <c r="G88" i="5"/>
  <c r="G95" i="5"/>
  <c r="G96" i="5"/>
  <c r="C63" i="5"/>
  <c r="C64" i="5"/>
  <c r="C65" i="5"/>
  <c r="C66" i="5"/>
  <c r="C67" i="5"/>
  <c r="C94" i="5"/>
  <c r="C85" i="5"/>
  <c r="C86" i="5"/>
  <c r="C87" i="5"/>
  <c r="C88" i="5"/>
  <c r="C95" i="5"/>
  <c r="C96" i="5"/>
  <c r="D91" i="5"/>
  <c r="E91" i="5"/>
  <c r="F91" i="5"/>
  <c r="G91" i="5"/>
  <c r="D92" i="5"/>
  <c r="E92" i="5"/>
  <c r="F92" i="5"/>
  <c r="G92" i="5"/>
  <c r="D93" i="5"/>
  <c r="E93" i="5"/>
  <c r="F93" i="5"/>
  <c r="G93" i="5"/>
  <c r="C93" i="5"/>
  <c r="C91" i="5"/>
  <c r="C92" i="5"/>
  <c r="B85" i="5"/>
  <c r="B86" i="5"/>
  <c r="B87" i="5"/>
  <c r="B88" i="5"/>
  <c r="B95" i="5"/>
  <c r="B63" i="5"/>
  <c r="B64" i="5"/>
  <c r="B65" i="5"/>
  <c r="B66" i="5"/>
  <c r="B67" i="5"/>
  <c r="B94" i="5"/>
  <c r="B92" i="5"/>
  <c r="B91" i="5"/>
  <c r="D79" i="5"/>
  <c r="D78" i="5"/>
  <c r="E79" i="5"/>
  <c r="E78" i="5"/>
  <c r="F79" i="5"/>
  <c r="F78" i="5"/>
  <c r="G79" i="5"/>
  <c r="G78" i="5"/>
  <c r="C79" i="5"/>
  <c r="C78" i="5"/>
  <c r="C72" i="5"/>
  <c r="D72" i="5"/>
  <c r="E72" i="5"/>
  <c r="F72" i="5"/>
  <c r="G72" i="5"/>
  <c r="B72" i="5"/>
  <c r="C71" i="5"/>
  <c r="D71" i="5"/>
  <c r="E71" i="5"/>
  <c r="F71" i="5"/>
  <c r="G71" i="5"/>
  <c r="C70" i="5"/>
  <c r="D70" i="5"/>
  <c r="E70" i="5"/>
  <c r="F70" i="5"/>
  <c r="G70" i="5"/>
  <c r="B70" i="5"/>
  <c r="B71" i="5"/>
  <c r="D57" i="5"/>
  <c r="E57" i="5"/>
  <c r="F57" i="5"/>
  <c r="G57" i="5"/>
  <c r="C57" i="5"/>
  <c r="C56" i="5"/>
  <c r="D56" i="5"/>
  <c r="E56" i="5"/>
  <c r="F56" i="5"/>
  <c r="G56" i="5"/>
  <c r="B56" i="5"/>
  <c r="C55" i="5"/>
  <c r="D55" i="5"/>
  <c r="E55" i="5"/>
  <c r="F55" i="5"/>
  <c r="G55" i="5"/>
  <c r="B55" i="5"/>
  <c r="C53" i="5"/>
  <c r="D53" i="5"/>
  <c r="E53" i="5"/>
  <c r="F53" i="5"/>
  <c r="G53" i="5"/>
  <c r="B53" i="5"/>
  <c r="C52" i="5"/>
  <c r="D52" i="5"/>
  <c r="E52" i="5"/>
  <c r="F52" i="5"/>
  <c r="G52" i="5"/>
  <c r="B52" i="5"/>
  <c r="AD20" i="5"/>
  <c r="AD26" i="5"/>
  <c r="AD35" i="5"/>
  <c r="AD37" i="5"/>
  <c r="AD39" i="5"/>
  <c r="AC20" i="5"/>
  <c r="AC26" i="5"/>
  <c r="AC35" i="5"/>
  <c r="AC37" i="5"/>
  <c r="AC39" i="5"/>
  <c r="AB20" i="5"/>
  <c r="AB26" i="5"/>
  <c r="AB35" i="5"/>
  <c r="AB37" i="5"/>
  <c r="AB39" i="5"/>
  <c r="AA20" i="5"/>
  <c r="AA26" i="5"/>
  <c r="AA35" i="5"/>
  <c r="AA37" i="5"/>
  <c r="AA39" i="5"/>
  <c r="Z20" i="5"/>
  <c r="Z26" i="5"/>
  <c r="Z35" i="5"/>
  <c r="Z37" i="5"/>
  <c r="Z39" i="5"/>
  <c r="Y20" i="5"/>
  <c r="Y26" i="5"/>
  <c r="Y35" i="5"/>
  <c r="Y37" i="5"/>
  <c r="Y39" i="5"/>
  <c r="U27" i="5"/>
  <c r="U37" i="5"/>
  <c r="U39" i="5"/>
  <c r="U41" i="5"/>
  <c r="U42" i="5"/>
  <c r="T27" i="5"/>
  <c r="T37" i="5"/>
  <c r="T39" i="5"/>
  <c r="T41" i="5"/>
  <c r="T42" i="5"/>
  <c r="S27" i="5"/>
  <c r="S37" i="5"/>
  <c r="S39" i="5"/>
  <c r="S41" i="5"/>
  <c r="S42" i="5"/>
  <c r="R27" i="5"/>
  <c r="R37" i="5"/>
  <c r="R39" i="5"/>
  <c r="R41" i="5"/>
  <c r="R42" i="5"/>
  <c r="Q27" i="5"/>
  <c r="Q37" i="5"/>
  <c r="Q39" i="5"/>
  <c r="Q41" i="5"/>
  <c r="Q42" i="5"/>
  <c r="P27" i="5"/>
  <c r="P37" i="5"/>
  <c r="P39" i="5"/>
  <c r="P41" i="5"/>
  <c r="P42" i="5"/>
  <c r="U10" i="5"/>
  <c r="U15" i="5"/>
  <c r="U18" i="5"/>
  <c r="U22" i="5"/>
  <c r="T10" i="5"/>
  <c r="T15" i="5"/>
  <c r="T18" i="5"/>
  <c r="T22" i="5"/>
  <c r="S10" i="5"/>
  <c r="S15" i="5"/>
  <c r="S18" i="5"/>
  <c r="S22" i="5"/>
  <c r="R10" i="5"/>
  <c r="R15" i="5"/>
  <c r="R18" i="5"/>
  <c r="R22" i="5"/>
  <c r="Q10" i="5"/>
  <c r="Q15" i="5"/>
  <c r="Q18" i="5"/>
  <c r="Q22" i="5"/>
  <c r="P10" i="5"/>
  <c r="P15" i="5"/>
  <c r="P18" i="5"/>
  <c r="P22" i="5"/>
  <c r="H3" i="5"/>
  <c r="I3" i="5"/>
  <c r="J3" i="5"/>
  <c r="K3" i="5"/>
  <c r="H5" i="5"/>
  <c r="I5" i="5"/>
  <c r="J5" i="5"/>
  <c r="K5" i="5"/>
  <c r="H7" i="5"/>
  <c r="I7" i="5"/>
  <c r="J7" i="5"/>
  <c r="K7" i="5"/>
  <c r="H9" i="5"/>
  <c r="I9" i="5"/>
  <c r="J9" i="5"/>
  <c r="K9" i="5"/>
  <c r="H11" i="5"/>
  <c r="I11" i="5"/>
  <c r="J11" i="5"/>
  <c r="K11" i="5"/>
  <c r="K13" i="5"/>
  <c r="F28" i="6"/>
  <c r="E13" i="5"/>
  <c r="E2" i="6"/>
  <c r="E4" i="6"/>
  <c r="F13" i="5"/>
  <c r="F2" i="6"/>
  <c r="F4" i="6"/>
  <c r="B34" i="6"/>
  <c r="F29" i="6"/>
  <c r="K7" i="6"/>
  <c r="L7" i="6"/>
  <c r="M7" i="6"/>
  <c r="L3" i="5"/>
  <c r="L5" i="5"/>
  <c r="L7" i="5"/>
  <c r="L9" i="5"/>
  <c r="L11" i="5"/>
  <c r="L13" i="5"/>
  <c r="G28" i="6"/>
  <c r="G29" i="6"/>
  <c r="K8" i="6"/>
  <c r="L8" i="6"/>
  <c r="M8" i="6"/>
  <c r="N8" i="6"/>
  <c r="O8" i="6"/>
  <c r="L31" i="5"/>
  <c r="J13" i="5"/>
  <c r="E28" i="6"/>
  <c r="E29" i="6"/>
  <c r="K6" i="6"/>
  <c r="L6" i="6"/>
  <c r="M6" i="6"/>
  <c r="N7" i="6"/>
  <c r="O7" i="6"/>
  <c r="K31" i="5"/>
  <c r="I13" i="5"/>
  <c r="D28" i="6"/>
  <c r="D29" i="6"/>
  <c r="K5" i="6"/>
  <c r="L5" i="6"/>
  <c r="M5" i="6"/>
  <c r="N6" i="6"/>
  <c r="O6" i="6"/>
  <c r="J31" i="5"/>
  <c r="H13" i="5"/>
  <c r="C28" i="6"/>
  <c r="C29" i="6"/>
  <c r="K4" i="6"/>
  <c r="L4" i="6"/>
  <c r="M4" i="6"/>
  <c r="N5" i="6"/>
  <c r="O5" i="6"/>
  <c r="I31" i="5"/>
  <c r="N4" i="6"/>
  <c r="O4" i="6"/>
  <c r="H31" i="5"/>
  <c r="K19" i="6"/>
  <c r="P19" i="6"/>
  <c r="K20" i="6"/>
  <c r="P20" i="6"/>
  <c r="K21" i="6"/>
  <c r="P21" i="6"/>
  <c r="K22" i="6"/>
  <c r="P22" i="6"/>
  <c r="K23" i="6"/>
  <c r="P23" i="6"/>
  <c r="P24" i="6"/>
  <c r="L21" i="5"/>
  <c r="O19" i="6"/>
  <c r="O20" i="6"/>
  <c r="O21" i="6"/>
  <c r="O22" i="6"/>
  <c r="O24" i="6"/>
  <c r="K21" i="5"/>
  <c r="N19" i="6"/>
  <c r="N20" i="6"/>
  <c r="N21" i="6"/>
  <c r="N24" i="6"/>
  <c r="J21" i="5"/>
  <c r="M19" i="6"/>
  <c r="M20" i="6"/>
  <c r="M24" i="6"/>
  <c r="I21" i="5"/>
  <c r="L19" i="6"/>
  <c r="L24" i="6"/>
  <c r="H21" i="5"/>
  <c r="K18" i="6"/>
  <c r="L3" i="6"/>
  <c r="K3" i="6"/>
  <c r="P18" i="6"/>
  <c r="G6" i="6"/>
  <c r="G3" i="6"/>
  <c r="G7" i="6"/>
  <c r="B37" i="6"/>
  <c r="G8" i="6"/>
  <c r="G9" i="6"/>
  <c r="B38" i="6"/>
  <c r="F16" i="6"/>
  <c r="G16" i="6"/>
  <c r="G20" i="6"/>
  <c r="B33" i="6"/>
  <c r="G17" i="6"/>
  <c r="G13" i="5"/>
  <c r="G2" i="6"/>
  <c r="G18" i="6"/>
  <c r="C17" i="6"/>
  <c r="D17" i="6"/>
  <c r="E17" i="6"/>
  <c r="F17" i="6"/>
  <c r="B17" i="6"/>
  <c r="C16" i="6"/>
  <c r="D16" i="6"/>
  <c r="E16" i="6"/>
  <c r="B16" i="6"/>
  <c r="F6" i="6"/>
  <c r="F8" i="6"/>
  <c r="F10" i="6"/>
  <c r="G10" i="6"/>
  <c r="B39" i="6"/>
  <c r="C8" i="6"/>
  <c r="D8" i="6"/>
  <c r="E8" i="6"/>
  <c r="B8" i="6"/>
  <c r="C6" i="6"/>
  <c r="D6" i="6"/>
  <c r="E6" i="6"/>
  <c r="B6" i="6"/>
  <c r="G4" i="6"/>
  <c r="C3" i="6"/>
  <c r="D3" i="6"/>
  <c r="E3" i="6"/>
  <c r="F3" i="6"/>
  <c r="B3" i="6"/>
  <c r="C13" i="5"/>
  <c r="C2" i="6"/>
  <c r="D13" i="5"/>
  <c r="D2" i="6"/>
  <c r="B13" i="5"/>
  <c r="B2" i="6"/>
  <c r="E10" i="6"/>
  <c r="D10" i="6"/>
  <c r="C10" i="6"/>
  <c r="B10" i="6"/>
  <c r="F9" i="6"/>
  <c r="E9" i="6"/>
  <c r="D9" i="6"/>
  <c r="C9" i="6"/>
  <c r="B9" i="6"/>
  <c r="M3" i="6"/>
  <c r="F7" i="6"/>
  <c r="E7" i="6"/>
  <c r="D7" i="6"/>
  <c r="C7" i="6"/>
  <c r="B7" i="6"/>
  <c r="L18" i="6"/>
  <c r="M18" i="6"/>
  <c r="N18" i="6"/>
  <c r="O18" i="6"/>
  <c r="F18" i="6"/>
  <c r="E18" i="6"/>
  <c r="D18" i="6"/>
  <c r="C18" i="6"/>
  <c r="B18" i="6"/>
  <c r="D4" i="6"/>
  <c r="C4" i="6"/>
  <c r="B4" i="6"/>
  <c r="H15" i="5"/>
  <c r="H17" i="5"/>
  <c r="G20" i="5"/>
  <c r="H20" i="5"/>
  <c r="H19" i="5"/>
  <c r="H22" i="5"/>
  <c r="H23" i="5"/>
  <c r="C28" i="5"/>
  <c r="D28" i="5"/>
  <c r="E28" i="5"/>
  <c r="F28" i="5"/>
  <c r="G28" i="5"/>
  <c r="H28" i="5"/>
  <c r="H27" i="5"/>
  <c r="H29" i="5"/>
  <c r="H32" i="5"/>
  <c r="H34" i="5"/>
  <c r="H36" i="5"/>
  <c r="H40" i="5"/>
  <c r="I15" i="5"/>
  <c r="I17" i="5"/>
  <c r="I20" i="5"/>
  <c r="I19" i="5"/>
  <c r="I22" i="5"/>
  <c r="I23" i="5"/>
  <c r="I28" i="5"/>
  <c r="I27" i="5"/>
  <c r="I29" i="5"/>
  <c r="I32" i="5"/>
  <c r="I34" i="5"/>
  <c r="I36" i="5"/>
  <c r="I40" i="5"/>
  <c r="E16" i="5"/>
  <c r="F16" i="5"/>
  <c r="G16" i="5"/>
  <c r="J16" i="5"/>
  <c r="J15" i="5"/>
  <c r="E18" i="5"/>
  <c r="F18" i="5"/>
  <c r="G18" i="5"/>
  <c r="J18" i="5"/>
  <c r="J17" i="5"/>
  <c r="J20" i="5"/>
  <c r="J19" i="5"/>
  <c r="J22" i="5"/>
  <c r="J23" i="5"/>
  <c r="J28" i="5"/>
  <c r="J27" i="5"/>
  <c r="J29" i="5"/>
  <c r="J32" i="5"/>
  <c r="J34" i="5"/>
  <c r="J36" i="5"/>
  <c r="J40" i="5"/>
  <c r="K16" i="5"/>
  <c r="K15" i="5"/>
  <c r="K18" i="5"/>
  <c r="K17" i="5"/>
  <c r="K20" i="5"/>
  <c r="K19" i="5"/>
  <c r="K22" i="5"/>
  <c r="K23" i="5"/>
  <c r="K28" i="5"/>
  <c r="K27" i="5"/>
  <c r="K29" i="5"/>
  <c r="K32" i="5"/>
  <c r="K34" i="5"/>
  <c r="K36" i="5"/>
  <c r="K40" i="5"/>
  <c r="L16" i="5"/>
  <c r="L15" i="5"/>
  <c r="L18" i="5"/>
  <c r="L17" i="5"/>
  <c r="L20" i="5"/>
  <c r="L19" i="5"/>
  <c r="L22" i="5"/>
  <c r="L23" i="5"/>
  <c r="L28" i="5"/>
  <c r="L27" i="5"/>
  <c r="L29" i="5"/>
  <c r="L32" i="5"/>
  <c r="L34" i="5"/>
  <c r="L36" i="5"/>
  <c r="L40" i="5"/>
  <c r="I37" i="5"/>
  <c r="K37" i="5"/>
  <c r="H37" i="5"/>
  <c r="J37" i="5"/>
  <c r="L37" i="5"/>
  <c r="H30" i="5"/>
  <c r="I30" i="5"/>
  <c r="J30" i="5"/>
  <c r="K30" i="5"/>
  <c r="L30" i="5"/>
  <c r="H14" i="5"/>
  <c r="I14" i="5"/>
  <c r="J14" i="5"/>
  <c r="K14" i="5"/>
  <c r="L14" i="5"/>
  <c r="H24" i="5"/>
  <c r="I24" i="5"/>
  <c r="G12" i="5"/>
  <c r="F12" i="5"/>
  <c r="E12" i="5"/>
  <c r="D12" i="5"/>
  <c r="C12" i="5"/>
  <c r="J24" i="5"/>
  <c r="G22" i="5"/>
  <c r="G23" i="5"/>
  <c r="G29" i="5"/>
  <c r="G32" i="5"/>
  <c r="G34" i="5"/>
  <c r="G36" i="5"/>
  <c r="G37" i="5"/>
  <c r="F22" i="5"/>
  <c r="F23" i="5"/>
  <c r="F29" i="5"/>
  <c r="F32" i="5"/>
  <c r="F34" i="5"/>
  <c r="F36" i="5"/>
  <c r="F37" i="5"/>
  <c r="E22" i="5"/>
  <c r="E23" i="5"/>
  <c r="E29" i="5"/>
  <c r="E32" i="5"/>
  <c r="E34" i="5"/>
  <c r="E36" i="5"/>
  <c r="E37" i="5"/>
  <c r="D23" i="5"/>
  <c r="D29" i="5"/>
  <c r="D32" i="5"/>
  <c r="D34" i="5"/>
  <c r="D36" i="5"/>
  <c r="D37" i="5"/>
  <c r="C23" i="5"/>
  <c r="C29" i="5"/>
  <c r="C32" i="5"/>
  <c r="C34" i="5"/>
  <c r="C36" i="5"/>
  <c r="C37" i="5"/>
  <c r="B23" i="5"/>
  <c r="B29" i="5"/>
  <c r="B32" i="5"/>
  <c r="B34" i="5"/>
  <c r="B36" i="5"/>
  <c r="B37" i="5"/>
  <c r="L24" i="5"/>
  <c r="K24" i="5"/>
  <c r="G30" i="5"/>
  <c r="F30" i="5"/>
  <c r="E30" i="5"/>
  <c r="D30" i="5"/>
  <c r="C30" i="5"/>
  <c r="B30" i="5"/>
  <c r="C24" i="5"/>
  <c r="E24" i="5"/>
  <c r="G24" i="5"/>
  <c r="B24" i="5"/>
  <c r="F20" i="5"/>
  <c r="E20" i="5"/>
  <c r="G10" i="5"/>
  <c r="F10" i="5"/>
  <c r="E10" i="5"/>
  <c r="D10" i="5"/>
  <c r="C10" i="5"/>
  <c r="G8" i="5"/>
  <c r="F8" i="5"/>
  <c r="E8" i="5"/>
  <c r="D8" i="5"/>
  <c r="C8" i="5"/>
  <c r="G6" i="5"/>
  <c r="F6" i="5"/>
  <c r="E6" i="5"/>
  <c r="D6" i="5"/>
  <c r="C6" i="5"/>
  <c r="D4" i="5"/>
  <c r="E4" i="5"/>
  <c r="F4" i="5"/>
  <c r="G4" i="5"/>
  <c r="C4" i="5"/>
  <c r="G14" i="5"/>
  <c r="C14" i="5"/>
  <c r="F14" i="5"/>
  <c r="E14" i="5"/>
  <c r="F24" i="5"/>
  <c r="D24" i="5"/>
  <c r="D39" i="5"/>
  <c r="D14" i="5"/>
  <c r="G40" i="5"/>
  <c r="F40" i="5"/>
  <c r="E40" i="5"/>
  <c r="C40" i="5"/>
  <c r="C39" i="5"/>
  <c r="B40" i="5"/>
  <c r="B39" i="5"/>
  <c r="C63" i="1"/>
  <c r="C65" i="1"/>
  <c r="D63" i="1"/>
  <c r="E63" i="1"/>
  <c r="F63" i="1"/>
  <c r="F65" i="1"/>
  <c r="F69" i="1"/>
  <c r="G63" i="1"/>
  <c r="G65" i="1"/>
  <c r="C64" i="1"/>
  <c r="D64" i="1"/>
  <c r="E64" i="1"/>
  <c r="F64" i="1"/>
  <c r="G64" i="1"/>
  <c r="D65" i="1"/>
  <c r="E65" i="1"/>
  <c r="C66" i="1"/>
  <c r="C68" i="1"/>
  <c r="D66" i="1"/>
  <c r="D68" i="1"/>
  <c r="D69" i="1"/>
  <c r="E66" i="1"/>
  <c r="F66" i="1"/>
  <c r="G66" i="1"/>
  <c r="G68" i="1"/>
  <c r="C67" i="1"/>
  <c r="D67" i="1"/>
  <c r="E67" i="1"/>
  <c r="F67" i="1"/>
  <c r="G67" i="1"/>
  <c r="E68" i="1"/>
  <c r="F68" i="1"/>
  <c r="E69" i="1"/>
  <c r="B69" i="1"/>
  <c r="B68" i="1"/>
  <c r="B67" i="1"/>
  <c r="B66" i="1"/>
  <c r="B65" i="1"/>
  <c r="B64" i="1"/>
  <c r="B63" i="1"/>
  <c r="A64" i="1"/>
  <c r="A63" i="1"/>
  <c r="C71" i="1"/>
  <c r="D71" i="1"/>
  <c r="E71" i="1"/>
  <c r="F71" i="1"/>
  <c r="G71" i="1"/>
  <c r="C72" i="1"/>
  <c r="D72" i="1"/>
  <c r="E72" i="1"/>
  <c r="F72" i="1"/>
  <c r="G72" i="1"/>
  <c r="B72" i="1"/>
  <c r="B71" i="1"/>
  <c r="C70" i="1"/>
  <c r="D70" i="1"/>
  <c r="E70" i="1"/>
  <c r="F70" i="1"/>
  <c r="G70" i="1"/>
  <c r="B70" i="1"/>
  <c r="C57" i="1"/>
  <c r="D57" i="1"/>
  <c r="E57" i="1"/>
  <c r="F57" i="1"/>
  <c r="G57" i="1"/>
  <c r="B57" i="1"/>
  <c r="C56" i="1"/>
  <c r="D56" i="1"/>
  <c r="E56" i="1"/>
  <c r="F56" i="1"/>
  <c r="G56" i="1"/>
  <c r="B56" i="1"/>
  <c r="C55" i="1"/>
  <c r="D55" i="1"/>
  <c r="E55" i="1"/>
  <c r="F55" i="1"/>
  <c r="G55" i="1"/>
  <c r="B55" i="1"/>
  <c r="C54" i="1"/>
  <c r="D54" i="1"/>
  <c r="E54" i="1"/>
  <c r="F54" i="1"/>
  <c r="G54" i="1"/>
  <c r="B54" i="1"/>
  <c r="C16" i="1"/>
  <c r="D16" i="1"/>
  <c r="E16" i="1"/>
  <c r="F16" i="1"/>
  <c r="G16" i="1"/>
  <c r="B16" i="1"/>
  <c r="B51" i="1"/>
  <c r="C49" i="1"/>
  <c r="E49" i="1"/>
  <c r="G49" i="1"/>
  <c r="C11" i="1"/>
  <c r="D11" i="1"/>
  <c r="E11" i="1"/>
  <c r="F11" i="1"/>
  <c r="G11" i="1"/>
  <c r="B11" i="1"/>
  <c r="C51" i="1"/>
  <c r="D51" i="1"/>
  <c r="D49" i="1"/>
  <c r="E51" i="1"/>
  <c r="F51" i="1"/>
  <c r="F49" i="1"/>
  <c r="G51" i="1"/>
  <c r="D47" i="1"/>
  <c r="G47" i="1"/>
  <c r="C47" i="1"/>
  <c r="D40" i="5"/>
  <c r="G39" i="5"/>
  <c r="F39" i="5"/>
  <c r="E39" i="5"/>
  <c r="G69" i="1"/>
  <c r="C69" i="1"/>
  <c r="B49" i="1"/>
  <c r="D15" i="4"/>
  <c r="D17" i="4"/>
  <c r="D19" i="4"/>
  <c r="C15" i="4"/>
  <c r="C17" i="4"/>
  <c r="C19" i="4"/>
  <c r="B15" i="4"/>
  <c r="B17" i="4"/>
  <c r="B19" i="4"/>
  <c r="G10" i="4"/>
  <c r="G15" i="4"/>
  <c r="G17" i="4"/>
  <c r="G19" i="4"/>
  <c r="F10" i="4"/>
  <c r="F15" i="4"/>
  <c r="F17" i="4"/>
  <c r="F19" i="4"/>
  <c r="E10" i="4"/>
  <c r="E5" i="4"/>
  <c r="E15" i="4"/>
  <c r="E17" i="4"/>
  <c r="E19" i="4"/>
  <c r="G22" i="4"/>
  <c r="G21" i="4"/>
  <c r="C22" i="4"/>
  <c r="C21" i="4"/>
  <c r="E22" i="4"/>
  <c r="E21" i="4"/>
  <c r="F22" i="4"/>
  <c r="F21" i="4"/>
  <c r="B22" i="4"/>
  <c r="B21" i="4"/>
  <c r="D22" i="4"/>
  <c r="D21" i="4"/>
  <c r="Y35" i="1"/>
  <c r="X35" i="1"/>
  <c r="W35" i="1"/>
  <c r="V35" i="1"/>
  <c r="U35" i="1"/>
  <c r="T35" i="1"/>
  <c r="Y26" i="1"/>
  <c r="X26" i="1"/>
  <c r="W26" i="1"/>
  <c r="V26" i="1"/>
  <c r="U26" i="1"/>
  <c r="T26" i="1"/>
  <c r="Y20" i="1"/>
  <c r="Y37" i="1"/>
  <c r="Y39" i="1"/>
  <c r="X20" i="1"/>
  <c r="W20" i="1"/>
  <c r="V20" i="1"/>
  <c r="V37" i="1"/>
  <c r="V39" i="1"/>
  <c r="U20" i="1"/>
  <c r="U37" i="1"/>
  <c r="U39" i="1"/>
  <c r="T20" i="1"/>
  <c r="P37" i="1"/>
  <c r="P39" i="1"/>
  <c r="P41" i="1"/>
  <c r="O37" i="1"/>
  <c r="O39" i="1"/>
  <c r="O41" i="1"/>
  <c r="N37" i="1"/>
  <c r="N39" i="1"/>
  <c r="N41" i="1"/>
  <c r="M37" i="1"/>
  <c r="M39" i="1"/>
  <c r="M41" i="1"/>
  <c r="L37" i="1"/>
  <c r="L39" i="1"/>
  <c r="L41" i="1"/>
  <c r="K37" i="1"/>
  <c r="K39" i="1"/>
  <c r="K41" i="1"/>
  <c r="P27" i="1"/>
  <c r="O27" i="1"/>
  <c r="N27" i="1"/>
  <c r="M27" i="1"/>
  <c r="L27" i="1"/>
  <c r="K27" i="1"/>
  <c r="P15" i="1"/>
  <c r="P18" i="1"/>
  <c r="O15" i="1"/>
  <c r="O18" i="1"/>
  <c r="N15" i="1"/>
  <c r="N18" i="1"/>
  <c r="M15" i="1"/>
  <c r="M18" i="1"/>
  <c r="L15" i="1"/>
  <c r="L18" i="1"/>
  <c r="K15" i="1"/>
  <c r="K18" i="1"/>
  <c r="P10" i="1"/>
  <c r="P22" i="1"/>
  <c r="O10" i="1"/>
  <c r="N10" i="1"/>
  <c r="M10" i="1"/>
  <c r="M22" i="1"/>
  <c r="L10" i="1"/>
  <c r="L22" i="1"/>
  <c r="K10" i="1"/>
  <c r="N22" i="1"/>
  <c r="W37" i="1"/>
  <c r="W39" i="1"/>
  <c r="K22" i="1"/>
  <c r="O22" i="1"/>
  <c r="M42" i="1"/>
  <c r="T37" i="1"/>
  <c r="T39" i="1"/>
  <c r="X37" i="1"/>
  <c r="X39" i="1"/>
  <c r="K42" i="1"/>
  <c r="O42" i="1"/>
  <c r="L42" i="1"/>
  <c r="P42" i="1"/>
  <c r="N42" i="1"/>
  <c r="F20" i="3"/>
  <c r="F26" i="3"/>
  <c r="F35" i="3"/>
  <c r="F37" i="3"/>
  <c r="F39" i="3"/>
  <c r="C35" i="3"/>
  <c r="D35" i="3"/>
  <c r="E35" i="3"/>
  <c r="G35" i="3"/>
  <c r="B35" i="3"/>
  <c r="C26" i="3"/>
  <c r="D26" i="3"/>
  <c r="E26" i="3"/>
  <c r="G26" i="3"/>
  <c r="B26" i="3"/>
  <c r="C20" i="3"/>
  <c r="C37" i="3"/>
  <c r="C39" i="3"/>
  <c r="D20" i="3"/>
  <c r="E20" i="3"/>
  <c r="E37" i="3"/>
  <c r="E39" i="3"/>
  <c r="G20" i="3"/>
  <c r="B20" i="3"/>
  <c r="B37" i="3"/>
  <c r="B39" i="3"/>
  <c r="C37" i="2"/>
  <c r="C39" i="2"/>
  <c r="C41" i="2"/>
  <c r="D37" i="2"/>
  <c r="D39" i="2"/>
  <c r="D41" i="2"/>
  <c r="E37" i="2"/>
  <c r="E39" i="2"/>
  <c r="E41" i="2"/>
  <c r="F37" i="2"/>
  <c r="F39" i="2"/>
  <c r="F41" i="2"/>
  <c r="G37" i="2"/>
  <c r="G39" i="2"/>
  <c r="G41" i="2"/>
  <c r="B37" i="2"/>
  <c r="B39" i="2"/>
  <c r="B41" i="2"/>
  <c r="C27" i="2"/>
  <c r="C42" i="2"/>
  <c r="D27" i="2"/>
  <c r="D42" i="2"/>
  <c r="E27" i="2"/>
  <c r="E42" i="2"/>
  <c r="F27" i="2"/>
  <c r="F42" i="2"/>
  <c r="G27" i="2"/>
  <c r="G42" i="2"/>
  <c r="B27" i="2"/>
  <c r="B42" i="2"/>
  <c r="C15" i="2"/>
  <c r="C18" i="2"/>
  <c r="D15" i="2"/>
  <c r="D18" i="2"/>
  <c r="E15" i="2"/>
  <c r="E18" i="2"/>
  <c r="F15" i="2"/>
  <c r="F18" i="2"/>
  <c r="G15" i="2"/>
  <c r="G18" i="2"/>
  <c r="B15" i="2"/>
  <c r="B18" i="2"/>
  <c r="C10" i="2"/>
  <c r="C22" i="2"/>
  <c r="D10" i="2"/>
  <c r="D22" i="2"/>
  <c r="E10" i="2"/>
  <c r="E22" i="2"/>
  <c r="F10" i="2"/>
  <c r="F22" i="2"/>
  <c r="G10" i="2"/>
  <c r="G22" i="2"/>
  <c r="B10" i="2"/>
  <c r="B22" i="2"/>
  <c r="G37" i="3"/>
  <c r="G39" i="3"/>
  <c r="D37" i="3"/>
  <c r="D39" i="3"/>
  <c r="C18" i="1"/>
  <c r="D18" i="1"/>
  <c r="B18" i="1"/>
  <c r="F10" i="1"/>
  <c r="F18" i="1"/>
  <c r="G10" i="1"/>
  <c r="G18" i="1"/>
  <c r="E10" i="1"/>
  <c r="E5" i="1"/>
  <c r="C20" i="1"/>
  <c r="C50" i="1"/>
  <c r="D20" i="1"/>
  <c r="D50" i="1"/>
  <c r="G20" i="1"/>
  <c r="G50" i="1"/>
  <c r="F20" i="1"/>
  <c r="F22" i="1"/>
  <c r="F50" i="1"/>
  <c r="B20" i="1"/>
  <c r="B22" i="1"/>
  <c r="B50" i="1"/>
  <c r="D23" i="1"/>
  <c r="D22" i="1"/>
  <c r="C22" i="1"/>
  <c r="C23" i="1"/>
  <c r="G22" i="1"/>
  <c r="G23" i="1"/>
  <c r="B23" i="1"/>
  <c r="F23" i="1"/>
  <c r="E47" i="1"/>
  <c r="F47" i="1"/>
  <c r="E18" i="1"/>
  <c r="E20" i="1"/>
  <c r="E50" i="1"/>
  <c r="E22" i="1"/>
  <c r="E23" i="1"/>
</calcChain>
</file>

<file path=xl/comments1.xml><?xml version="1.0" encoding="utf-8"?>
<comments xmlns="http://schemas.openxmlformats.org/spreadsheetml/2006/main">
  <authors>
    <author>Mary Anne Majadillas</author>
  </authors>
  <commentList>
    <comment ref="O50" authorId="0" shapeId="0">
      <text>
        <r>
          <rPr>
            <b/>
            <sz val="9"/>
            <color indexed="81"/>
            <rFont val="Tahoma"/>
            <family val="2"/>
          </rPr>
          <t>Mary Anne Majadillas:</t>
        </r>
        <r>
          <rPr>
            <sz val="9"/>
            <color indexed="81"/>
            <rFont val="Tahoma"/>
            <family val="2"/>
          </rPr>
          <t xml:space="preserve">
from FINRA:
http://finra-markets.morningstar.com/BondCenter/Results.jsp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>Mary Anne Majadillas:</t>
        </r>
        <r>
          <rPr>
            <sz val="9"/>
            <color indexed="81"/>
            <rFont val="Tahoma"/>
            <family val="2"/>
          </rPr>
          <t xml:space="preserve">
from http://pages.stern.nyu.edu/~adamodar/New_Home_Page/datafile/ratings.htm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>Mary Anne Majadillas:</t>
        </r>
        <r>
          <rPr>
            <sz val="9"/>
            <color indexed="81"/>
            <rFont val="Tahoma"/>
            <family val="2"/>
          </rPr>
          <t xml:space="preserve">
as of 4/15/2015</t>
        </r>
      </text>
    </comment>
  </commentList>
</comments>
</file>

<file path=xl/comments2.xml><?xml version="1.0" encoding="utf-8"?>
<comments xmlns="http://schemas.openxmlformats.org/spreadsheetml/2006/main">
  <authors>
    <author>Mary Anne Majadillas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Mary Anne Majadillas:</t>
        </r>
        <r>
          <rPr>
            <sz val="9"/>
            <color indexed="81"/>
            <rFont val="Tahoma"/>
            <family val="2"/>
          </rPr>
          <t xml:space="preserve">
from http://pages.stern.nyu.edu/~adamodar/New_Home_Page/datacurrent.html</t>
        </r>
      </text>
    </comment>
  </commentList>
</comments>
</file>

<file path=xl/sharedStrings.xml><?xml version="1.0" encoding="utf-8"?>
<sst xmlns="http://schemas.openxmlformats.org/spreadsheetml/2006/main" count="1017" uniqueCount="412">
  <si>
    <t>CONSOLIDATED STATEMENTS OF INCOME (USD $)</t>
  </si>
  <si>
    <t>12 Months Ended</t>
  </si>
  <si>
    <t>In Millions, except Per Share data, unless otherwise specified</t>
  </si>
  <si>
    <t>Sep. 27, 2014</t>
  </si>
  <si>
    <t>Sep. 28, 2013</t>
  </si>
  <si>
    <t>Sep. 29, 2012</t>
  </si>
  <si>
    <t>Services Revenue</t>
  </si>
  <si>
    <t>Products Revenue</t>
  </si>
  <si>
    <t>Total revenues</t>
  </si>
  <si>
    <t>Cost of services (exclusive of depreciation and amortization)</t>
  </si>
  <si>
    <t>Cost of products (exclusive of depreciation and amortization)</t>
  </si>
  <si>
    <t>Selling, general, administrative and other</t>
  </si>
  <si>
    <t>Depreciation and amortization</t>
  </si>
  <si>
    <t>Total costs and expenses</t>
  </si>
  <si>
    <t>Restructuring and impairment charges</t>
  </si>
  <si>
    <t>Other income/(expense), net</t>
  </si>
  <si>
    <t>Interest income/(expense), net</t>
  </si>
  <si>
    <t>Equity in the income of investees</t>
  </si>
  <si>
    <t>Income before income taxes</t>
  </si>
  <si>
    <t>Income taxes</t>
  </si>
  <si>
    <t>Net income</t>
  </si>
  <si>
    <t>Less: Net income attributable to noncontrolling interests</t>
  </si>
  <si>
    <t>Net income attributable to The Walt Disney Company (Disney)</t>
  </si>
  <si>
    <t>Earnings per share attributable to Disney:</t>
  </si>
  <si>
    <t>'</t>
  </si>
  <si>
    <t>Earnings Per Share, Diluted (usd per share)</t>
  </si>
  <si>
    <t>Earnings Per Share, Basic (usd per share)</t>
  </si>
  <si>
    <t>Weighted average number of common and common equivalent shares outstanding:</t>
  </si>
  <si>
    <t>Diluted (shares)</t>
  </si>
  <si>
    <t>Basic (shares)</t>
  </si>
  <si>
    <t>Dividends Declared Per Share (usd per share)</t>
  </si>
  <si>
    <t>Oct. 01, 2011</t>
  </si>
  <si>
    <t>Net Income</t>
  </si>
  <si>
    <t>[1]</t>
  </si>
  <si>
    <t>Oct. 02, 2010</t>
  </si>
  <si>
    <t>Oct. 03, 2009</t>
  </si>
  <si>
    <t>CONSOLIDATED BALANCE SHEETS (USD $)</t>
  </si>
  <si>
    <t>In Millions, unless otherwise specified</t>
  </si>
  <si>
    <t>Current assets</t>
  </si>
  <si>
    <t>Cash and cash equivalents</t>
  </si>
  <si>
    <t>Receivables</t>
  </si>
  <si>
    <t>Inventories</t>
  </si>
  <si>
    <t>Television costs and advances</t>
  </si>
  <si>
    <t>Deferred income taxes</t>
  </si>
  <si>
    <t>Other current assets</t>
  </si>
  <si>
    <t>Total current assets</t>
  </si>
  <si>
    <t>Film and television costs</t>
  </si>
  <si>
    <t>Investments</t>
  </si>
  <si>
    <t>Attractions, buildings and equipment</t>
  </si>
  <si>
    <t>Accumulated depreciation</t>
  </si>
  <si>
    <t>Parks, resorts and other property, before projects in progress and land, Total</t>
  </si>
  <si>
    <t>Projects in progress</t>
  </si>
  <si>
    <t>Land</t>
  </si>
  <si>
    <t>Intangible assets, net</t>
  </si>
  <si>
    <t>Goodwill</t>
  </si>
  <si>
    <t>Other assets</t>
  </si>
  <si>
    <t>Total assets</t>
  </si>
  <si>
    <t>Current liabilities</t>
  </si>
  <si>
    <t>Accounts payable and other accrued liabilities</t>
  </si>
  <si>
    <t>Current portion of borrowings</t>
  </si>
  <si>
    <t>Unearned royalties and other advances</t>
  </si>
  <si>
    <t>Total current liabilities</t>
  </si>
  <si>
    <t>Borrowings</t>
  </si>
  <si>
    <t>Other long-term liabilities</t>
  </si>
  <si>
    <t>Commitments and contingencies (Note 14)</t>
  </si>
  <si>
    <t>'  </t>
  </si>
  <si>
    <t>Equity</t>
  </si>
  <si>
    <t>Preferred stock, $.01 par value Authorized â€“ 100 million shares, Issued â€“ none</t>
  </si>
  <si>
    <t>Common stock, $.01 par value Authorized â€“ 4.6 billion shares, Issued â€“ 2.8 billion shares</t>
  </si>
  <si>
    <t>Retained earnings</t>
  </si>
  <si>
    <t>Accumulated other comprehensive loss</t>
  </si>
  <si>
    <t>Stockholders' Equity subtotal before Treasury Stock, Total</t>
  </si>
  <si>
    <t>Treasury stock, at cost, 1.1 billion shares at September 27, 2014 and 1.0 billion shares at September 28, 2013</t>
  </si>
  <si>
    <t>Total Disney Shareholdersâ€™ equity</t>
  </si>
  <si>
    <t>Noncontrolling interests</t>
  </si>
  <si>
    <t>Total equity</t>
  </si>
  <si>
    <t>Total liabilities and equity</t>
  </si>
  <si>
    <t>  </t>
  </si>
  <si>
    <t>CONSOLIDATED STATEMENTS OF CASH FLOWS (USD $)</t>
  </si>
  <si>
    <t>OPERATING ACTIVITIES</t>
  </si>
  <si>
    <t>Gains on sales of investments, dispositions and acquisitions</t>
  </si>
  <si>
    <t>Cash distributions received from equity investees</t>
  </si>
  <si>
    <t>Net change in film and television costs and advances</t>
  </si>
  <si>
    <t>Equity-based compensation</t>
  </si>
  <si>
    <t>Other Operating Activities, Cash Flow Statement</t>
  </si>
  <si>
    <t>Changes in operating assets and liabilities:</t>
  </si>
  <si>
    <t>Cash provided by operations</t>
  </si>
  <si>
    <t>INVESTING ACTIVITIES</t>
  </si>
  <si>
    <t>Investments in parks, resorts and other property</t>
  </si>
  <si>
    <t>Sales of investments/proceeds from dispositions</t>
  </si>
  <si>
    <t>Acquisitions</t>
  </si>
  <si>
    <t>Other</t>
  </si>
  <si>
    <t>Cash used in investing activities</t>
  </si>
  <si>
    <t>FINANCING ACTIVITIES</t>
  </si>
  <si>
    <t>Commercial paper borrowings/(repayments), net</t>
  </si>
  <si>
    <t>Reduction of borrowings</t>
  </si>
  <si>
    <t>Dividends</t>
  </si>
  <si>
    <t>Repurchases of common stock</t>
  </si>
  <si>
    <t>Proceeds from exercise of stock options</t>
  </si>
  <si>
    <t>Cash used in financing activities</t>
  </si>
  <si>
    <t>Impact of exchange rates on cash and cash equivalents</t>
  </si>
  <si>
    <t>(Decrease)/increase in cash and cash equivalents</t>
  </si>
  <si>
    <t>Cash and cash equivalents, beginning of year</t>
  </si>
  <si>
    <t>Cash and cash equivalents, end of year</t>
  </si>
  <si>
    <t>Supplemental disclosure of cash flow information:</t>
  </si>
  <si>
    <t>Interest paid</t>
  </si>
  <si>
    <t>Income taxes paid</t>
  </si>
  <si>
    <t>Impairment charges</t>
  </si>
  <si>
    <t>Fixed assets/Parks, resorts and other property</t>
  </si>
  <si>
    <t>Sales growth</t>
  </si>
  <si>
    <t>Gross profit margin</t>
  </si>
  <si>
    <t>Operating margin</t>
  </si>
  <si>
    <t>Net income margin</t>
  </si>
  <si>
    <t>Asset turnover</t>
  </si>
  <si>
    <t>Equity multiplier</t>
  </si>
  <si>
    <t>Capex ratio</t>
  </si>
  <si>
    <t>Goodwill ratio to TA</t>
  </si>
  <si>
    <t>Dividends paid (total $)</t>
  </si>
  <si>
    <t>Repurchases (total $)</t>
  </si>
  <si>
    <t>Operating income</t>
  </si>
  <si>
    <t>Effective tax rate</t>
  </si>
  <si>
    <t>ROE</t>
  </si>
  <si>
    <t>OCF</t>
  </si>
  <si>
    <t>EBIT(1-t)</t>
  </si>
  <si>
    <t xml:space="preserve">Capex  </t>
  </si>
  <si>
    <t>Media Networks</t>
  </si>
  <si>
    <t>Parks and Resorts</t>
  </si>
  <si>
    <t>Studio Entertainment</t>
  </si>
  <si>
    <t>Consumer Products</t>
  </si>
  <si>
    <t>Interactive</t>
  </si>
  <si>
    <t>%Revenue</t>
  </si>
  <si>
    <t>%Growth</t>
  </si>
  <si>
    <t>Operating Income</t>
  </si>
  <si>
    <t>EBIT</t>
  </si>
  <si>
    <t>Operating margin - before tax</t>
  </si>
  <si>
    <t>EBIT margin - before tax</t>
  </si>
  <si>
    <t>2015F</t>
  </si>
  <si>
    <t>2016F</t>
  </si>
  <si>
    <t>2017F</t>
  </si>
  <si>
    <t>2019F</t>
  </si>
  <si>
    <t>2018F</t>
  </si>
  <si>
    <t>Depreciation Expense forecast</t>
  </si>
  <si>
    <t>Revenues</t>
  </si>
  <si>
    <t>Depreciable</t>
  </si>
  <si>
    <t>Total Assets</t>
  </si>
  <si>
    <t>base</t>
  </si>
  <si>
    <t>Asset Turnover</t>
  </si>
  <si>
    <t>Existing PP&amp;E</t>
  </si>
  <si>
    <t>Net PP&amp;E</t>
  </si>
  <si>
    <t>Additions to PP&amp;E 2015</t>
  </si>
  <si>
    <t>% of Revenues</t>
  </si>
  <si>
    <t>Additions to PP&amp;E 2016</t>
  </si>
  <si>
    <t>Additions to PP&amp;E</t>
  </si>
  <si>
    <t>Additions to PP&amp;E 2017</t>
  </si>
  <si>
    <t>Additions to PP&amp;E 2018</t>
  </si>
  <si>
    <t>Dep &amp; Amort</t>
  </si>
  <si>
    <t>Interest expense forecast</t>
  </si>
  <si>
    <t>S/T debt</t>
  </si>
  <si>
    <t>L/T debt</t>
  </si>
  <si>
    <t>Total</t>
  </si>
  <si>
    <t>Average</t>
  </si>
  <si>
    <t>Int Exp</t>
  </si>
  <si>
    <t>% of Total Assets</t>
  </si>
  <si>
    <t>Total debt</t>
  </si>
  <si>
    <t>Interest expense</t>
  </si>
  <si>
    <t>Forecast Revenue</t>
  </si>
  <si>
    <t>Forecast Total Assets</t>
  </si>
  <si>
    <t>Assumptions</t>
  </si>
  <si>
    <t>closer to average 2012-2013</t>
  </si>
  <si>
    <t>Average life of PP&amp;E</t>
  </si>
  <si>
    <t>Interest rate</t>
  </si>
  <si>
    <t>Additions to PP&amp;E 2019</t>
  </si>
  <si>
    <t>closer to average 2009-2014</t>
  </si>
  <si>
    <t>closer to 2014 value</t>
  </si>
  <si>
    <t>Free cash flows</t>
  </si>
  <si>
    <t>Calculation of non-cash working capital</t>
  </si>
  <si>
    <t>non-cash current assets</t>
  </si>
  <si>
    <t xml:space="preserve">   Accounts receivable</t>
  </si>
  <si>
    <t xml:space="preserve">   Inventories</t>
  </si>
  <si>
    <t>non-cash current liabilities</t>
  </si>
  <si>
    <t xml:space="preserve">non-cash working capital </t>
  </si>
  <si>
    <t>change in non-cash working capital</t>
  </si>
  <si>
    <t>Calculation of capex --- this information is from the statement of cash flows</t>
  </si>
  <si>
    <t>capex</t>
  </si>
  <si>
    <t>EBIT (1-t)</t>
  </si>
  <si>
    <t>depreciation</t>
  </si>
  <si>
    <t>FCFF</t>
  </si>
  <si>
    <t>Calculation of net debt --- this information is from the statement of cash flows</t>
  </si>
  <si>
    <t>Net debt</t>
  </si>
  <si>
    <t>NI</t>
  </si>
  <si>
    <t>net debt</t>
  </si>
  <si>
    <t>FCFE</t>
  </si>
  <si>
    <t>Cash dividends paid</t>
  </si>
  <si>
    <t>Repurchase of common stock</t>
  </si>
  <si>
    <t>Total payout</t>
  </si>
  <si>
    <t>effective tax rate</t>
  </si>
  <si>
    <t xml:space="preserve">   Accounts payable and other accrued liabilities</t>
  </si>
  <si>
    <t>Dividend payout ratio</t>
  </si>
  <si>
    <t>Retention ratio</t>
  </si>
  <si>
    <t>Goodwill to TA</t>
  </si>
  <si>
    <t>Goodwill to SHE</t>
  </si>
  <si>
    <t>Weight</t>
  </si>
  <si>
    <t>Equity risk premium</t>
  </si>
  <si>
    <t>Country</t>
  </si>
  <si>
    <t>Equity Risk Premium</t>
  </si>
  <si>
    <t>Region</t>
  </si>
  <si>
    <t>United States and Canada</t>
  </si>
  <si>
    <t>Angola</t>
  </si>
  <si>
    <t>Africa</t>
  </si>
  <si>
    <t>Europe</t>
  </si>
  <si>
    <t>Botswana</t>
  </si>
  <si>
    <t>Asia Pacific</t>
  </si>
  <si>
    <t>Burkina Faso</t>
  </si>
  <si>
    <t>Latin America and Other</t>
  </si>
  <si>
    <t>Cameroon</t>
  </si>
  <si>
    <t>Cape Verde</t>
  </si>
  <si>
    <t>Congo (Democratic Republic of)</t>
  </si>
  <si>
    <t>Congo (Republic of)</t>
  </si>
  <si>
    <t>Op. Inc.</t>
  </si>
  <si>
    <t>Côte d'Ivoire</t>
  </si>
  <si>
    <t>Egypt</t>
  </si>
  <si>
    <t>Ethiopia</t>
  </si>
  <si>
    <t>Gabon</t>
  </si>
  <si>
    <t>Ghana</t>
  </si>
  <si>
    <t>Kenya</t>
  </si>
  <si>
    <t>Morocco</t>
  </si>
  <si>
    <t>Mozambique</t>
  </si>
  <si>
    <t>Namibia</t>
  </si>
  <si>
    <t>Nigeria</t>
  </si>
  <si>
    <t>Rwanda</t>
  </si>
  <si>
    <t>Senegal</t>
  </si>
  <si>
    <t>South Africa</t>
  </si>
  <si>
    <t>Tunisia</t>
  </si>
  <si>
    <t>Uganda</t>
  </si>
  <si>
    <t>Zambia</t>
  </si>
  <si>
    <t>Bangladesh</t>
  </si>
  <si>
    <t>Asia</t>
  </si>
  <si>
    <t>Cambodia</t>
  </si>
  <si>
    <t>China</t>
  </si>
  <si>
    <t>Fiji</t>
  </si>
  <si>
    <t>Hong Kong</t>
  </si>
  <si>
    <t>India</t>
  </si>
  <si>
    <t>Indonesia</t>
  </si>
  <si>
    <t>Japan</t>
  </si>
  <si>
    <t>Korea</t>
  </si>
  <si>
    <t>Macao</t>
  </si>
  <si>
    <t>Malaysia</t>
  </si>
  <si>
    <t>Mauritius</t>
  </si>
  <si>
    <t>Mongolia</t>
  </si>
  <si>
    <t>Pakistan</t>
  </si>
  <si>
    <t>Papua New Guinea</t>
  </si>
  <si>
    <t>Philippines</t>
  </si>
  <si>
    <t>Singapore</t>
  </si>
  <si>
    <t>Sri Lanka</t>
  </si>
  <si>
    <t>Taiwan</t>
  </si>
  <si>
    <t>Thailand</t>
  </si>
  <si>
    <t>Vietnam</t>
  </si>
  <si>
    <t>Australia</t>
  </si>
  <si>
    <t>Australia &amp; New Zealand</t>
  </si>
  <si>
    <t>Cook Islands</t>
  </si>
  <si>
    <t>New Zealand</t>
  </si>
  <si>
    <t>Aruba</t>
  </si>
  <si>
    <t>Caribbean</t>
  </si>
  <si>
    <t>Bahamas</t>
  </si>
  <si>
    <t>Barbados</t>
  </si>
  <si>
    <t>Bermuda</t>
  </si>
  <si>
    <t>Cayman Islands</t>
  </si>
  <si>
    <t>Cuba</t>
  </si>
  <si>
    <t>Curacao</t>
  </si>
  <si>
    <t>Dominican Republic</t>
  </si>
  <si>
    <t>Jamaica</t>
  </si>
  <si>
    <t>Montserrat</t>
  </si>
  <si>
    <t>St. Maarten</t>
  </si>
  <si>
    <t>St. Vincent &amp; the Grenadines</t>
  </si>
  <si>
    <t>Trinidad and Tobago</t>
  </si>
  <si>
    <t>Turks and Caicos Islands</t>
  </si>
  <si>
    <t>Argentina</t>
  </si>
  <si>
    <t>Central and South America</t>
  </si>
  <si>
    <t>Belize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</si>
  <si>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</si>
  <si>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</si>
  <si>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</si>
  <si>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</si>
  <si>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</si>
  <si>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</si>
  <si>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</si>
  <si>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</si>
  <si>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</si>
  <si>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</si>
  <si>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</si>
  <si>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</si>
  <si>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</si>
  <si>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Peru</t>
  </si>
  <si>
    <t>Suriname</t>
  </si>
  <si>
    <t>Uruguay</t>
  </si>
  <si>
    <t>Venezuela</t>
  </si>
  <si>
    <t>Albania</t>
  </si>
  <si>
    <t>Eastern Europe &amp; Russia</t>
  </si>
  <si>
    <t>Armenia</t>
  </si>
  <si>
    <t>Azerbaijan</t>
  </si>
  <si>
    <t>Belarus</t>
  </si>
  <si>
    <t>Bosnia and Herzegovina</t>
  </si>
  <si>
    <t>Bulgaria</t>
  </si>
  <si>
    <t>Croatia</t>
  </si>
  <si>
    <t>Czech Republic</t>
  </si>
  <si>
    <t>Estonia</t>
  </si>
  <si>
    <t>Georgia</t>
  </si>
  <si>
    <t>Hungary</t>
  </si>
  <si>
    <t>Kazakhstan</t>
  </si>
  <si>
    <t>Latvia</t>
  </si>
  <si>
    <t>Lithuania</t>
  </si>
  <si>
    <t>Macedonia</t>
  </si>
  <si>
    <t>Moldova</t>
  </si>
  <si>
    <t>Montenegro</t>
  </si>
  <si>
    <t>Poland</t>
  </si>
  <si>
    <t>Romania</t>
  </si>
  <si>
    <t>Russia</t>
  </si>
  <si>
    <t>Serbia</t>
  </si>
  <si>
    <t>Slovakia</t>
  </si>
  <si>
    <t>Slovenia</t>
  </si>
  <si>
    <t>Ukraine</t>
  </si>
  <si>
    <t>Abu Dhabi</t>
  </si>
  <si>
    <t>Middle East</t>
  </si>
  <si>
    <t>Bahrain</t>
  </si>
  <si>
    <t>Israel</t>
  </si>
  <si>
    <t>Jordan</t>
  </si>
  <si>
    <t>Kuwait</t>
  </si>
  <si>
    <t>Lebanon</t>
  </si>
  <si>
    <t>Oman</t>
  </si>
  <si>
    <t>Qatar</t>
  </si>
  <si>
    <t>Ras Al Khaimah (Emirate of)</t>
  </si>
  <si>
    <t>Saudi Arabia</t>
  </si>
  <si>
    <t>Sharjah</t>
  </si>
  <si>
    <t>United Arab Emirates</t>
  </si>
  <si>
    <t>Canada</t>
  </si>
  <si>
    <t>North America</t>
  </si>
  <si>
    <t>United States of America</t>
  </si>
  <si>
    <t>Andorra (Principality of)</t>
  </si>
  <si>
    <t>Western Europe</t>
  </si>
  <si>
    <t>Austria</t>
  </si>
  <si>
    <t>Belgium</t>
  </si>
  <si>
    <t>Cyprus</t>
  </si>
  <si>
    <t>Denmark</t>
  </si>
  <si>
    <t>Finland</t>
  </si>
  <si>
    <t>France</t>
  </si>
  <si>
    <t>Germany</t>
  </si>
  <si>
    <t>Greece</t>
  </si>
  <si>
    <t>Guernsey (States of)</t>
  </si>
  <si>
    <t>Iceland</t>
  </si>
  <si>
    <t>Ireland</t>
  </si>
  <si>
    <t>Isle of Man</t>
  </si>
  <si>
    <t>Italy</t>
  </si>
  <si>
    <t>Jersey (States of)</t>
  </si>
  <si>
    <t>Liechtenstein</t>
  </si>
  <si>
    <t>Luxembourg</t>
  </si>
  <si>
    <t>Malta</t>
  </si>
  <si>
    <t>Netherlands</t>
  </si>
  <si>
    <t>Norway</t>
  </si>
  <si>
    <t>Portugal</t>
  </si>
  <si>
    <t>Spain</t>
  </si>
  <si>
    <t>Sweden</t>
  </si>
  <si>
    <t>Switzerland</t>
  </si>
  <si>
    <t>Turkey</t>
  </si>
  <si>
    <t>United Kingdom</t>
  </si>
  <si>
    <t>Cost of Debt:</t>
  </si>
  <si>
    <t>Rf =</t>
  </si>
  <si>
    <t xml:space="preserve">S&amp;P credit rating = </t>
  </si>
  <si>
    <t>A</t>
  </si>
  <si>
    <t>Spread =</t>
  </si>
  <si>
    <t>Cost of Equity:</t>
  </si>
  <si>
    <t>beta =</t>
  </si>
  <si>
    <t>US revenue weight =</t>
  </si>
  <si>
    <t>Europe revenue weight =</t>
  </si>
  <si>
    <t>Asia-pacific revenue weight =</t>
  </si>
  <si>
    <t>Latin America revenue weight =</t>
  </si>
  <si>
    <t>US market risk premium =</t>
  </si>
  <si>
    <t>Europe market risk premium =</t>
  </si>
  <si>
    <t>Asia-pacific market risk premium =</t>
  </si>
  <si>
    <t>Latin america market risk premium =</t>
  </si>
  <si>
    <t>Overall market risk premium =</t>
  </si>
  <si>
    <t>WACC:</t>
  </si>
  <si>
    <t>book value of debt =</t>
  </si>
  <si>
    <t>market value of equity =</t>
  </si>
  <si>
    <t>weight of debt =</t>
  </si>
  <si>
    <t>weight of equity (using market values) =</t>
  </si>
  <si>
    <t>Assumption re change in NWC =</t>
  </si>
  <si>
    <t>Assumption re capex =</t>
  </si>
  <si>
    <t>Assumption re long-run growth rate =</t>
  </si>
  <si>
    <t>&lt;&lt;&lt;&lt;&lt;&lt;&lt;</t>
  </si>
  <si>
    <t>terminal value</t>
  </si>
  <si>
    <t>cash flows</t>
  </si>
  <si>
    <t>discounted cash flows</t>
  </si>
  <si>
    <t>sum of discounted cash flows, also the value of the firm (i.e. debt + equity)</t>
  </si>
  <si>
    <t>value of equity</t>
  </si>
  <si>
    <t>price per share today (note: this is not a target price)</t>
  </si>
  <si>
    <t>Caveats (i.e., there are many inputs/assumptions where I could be wrong):</t>
  </si>
  <si>
    <t>1. As in all types of forecasting, what you get out of DCF depends on the inputs you use --- i.e., garbage in, garbage out</t>
  </si>
  <si>
    <t>2. Inputs to DCF</t>
  </si>
  <si>
    <t>a. cash flows --- these depend a lot on the assumptions you make when you forecast the financial statements</t>
  </si>
  <si>
    <t>b. required rate of return</t>
  </si>
  <si>
    <t>b.1  this should match the cash flows you use</t>
  </si>
  <si>
    <t>b.2 in this case, because we used FCFFs, the appropriate required rate of return is the WACC</t>
  </si>
  <si>
    <t>the capital structure (i.e., weights of debt and equity, should be based on a target (future capital structure)</t>
  </si>
  <si>
    <t>what risk-free rate should you use?</t>
  </si>
  <si>
    <t>how is beta calculated? Should be calculated "bottom-up" (i.e., beta for each segment should be calculated)</t>
  </si>
  <si>
    <t>what risk-premium should you use?</t>
  </si>
  <si>
    <t>3. terminal value</t>
  </si>
  <si>
    <t>the forecast period should be 5-10 years</t>
  </si>
  <si>
    <t>the "terminal" period should be when the high growth period stops and cash flows are more stable (i.e. this could be anywhere between years 5-10)</t>
  </si>
  <si>
    <t>what terminal growth rate should you use?</t>
  </si>
  <si>
    <t>if the terminal growth rate is &gt; the required rate of return, the constant growth formula will not work</t>
  </si>
  <si>
    <t>if the difference between the required rate of return and the terminal growth rate is &lt; 1%, your terminal value will blow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</si>
</sst>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70C0"/>
      <name val="Times New Roman"/>
      <family val="1"/>
    </font>
    <font>
      <b/>
      <sz val="10"/>
      <color theme="1"/>
      <name val="Times New Roman"/>
      <family val="1"/>
    </font>
    <font>
      <i/>
      <sz val="10"/>
      <color rgb="FF7030A0"/>
      <name val="Times New Roman"/>
      <family val="1"/>
    </font>
    <font>
      <i/>
      <sz val="10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7030A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4" tint="-0.249977111117893"/>
      <name val="Times New Roman"/>
      <family val="1"/>
    </font>
    <font>
      <i/>
      <sz val="10"/>
      <color theme="4" tint="-0.249977111117893"/>
      <name val="Times New Roman"/>
      <family val="1"/>
    </font>
    <font>
      <b/>
      <sz val="10"/>
      <color theme="4" tint="-0.249977111117893"/>
      <name val="Times New Roman"/>
      <family val="1"/>
    </font>
    <font>
      <sz val="10"/>
      <color theme="2" tint="-0.749992370372631"/>
      <name val="Times New Roman"/>
      <family val="1"/>
    </font>
    <font>
      <sz val="10"/>
      <color theme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7030A0"/>
      <name val="Times New Roman"/>
      <family val="1"/>
    </font>
    <font>
      <b/>
      <i/>
      <sz val="10"/>
      <color rgb="FF7030A0"/>
      <name val="Times New Roman"/>
      <family val="1"/>
    </font>
    <font>
      <b/>
      <i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Alignment="1"/>
    <xf numFmtId="0" fontId="4" fillId="0" borderId="0" xfId="0" applyFont="1" applyAlignment="1">
      <alignment vertical="top" wrapText="1"/>
    </xf>
    <xf numFmtId="2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/>
    <xf numFmtId="0" fontId="5" fillId="0" borderId="0" xfId="0" applyFont="1" applyAlignment="1">
      <alignment vertical="top" wrapText="1"/>
    </xf>
    <xf numFmtId="2" fontId="5" fillId="0" borderId="0" xfId="0" applyNumberFormat="1" applyFont="1" applyAlignment="1">
      <alignment wrapText="1"/>
    </xf>
    <xf numFmtId="0" fontId="3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wrapText="1"/>
    </xf>
    <xf numFmtId="2" fontId="5" fillId="0" borderId="0" xfId="0" applyNumberFormat="1" applyFont="1"/>
    <xf numFmtId="2" fontId="0" fillId="0" borderId="0" xfId="0" applyNumberFormat="1"/>
    <xf numFmtId="10" fontId="0" fillId="0" borderId="0" xfId="1" applyNumberFormat="1" applyFont="1"/>
    <xf numFmtId="43" fontId="0" fillId="0" borderId="0" xfId="2" applyFont="1"/>
    <xf numFmtId="0" fontId="7" fillId="0" borderId="0" xfId="0" applyFont="1"/>
    <xf numFmtId="0" fontId="9" fillId="0" borderId="0" xfId="0" applyFont="1"/>
    <xf numFmtId="2" fontId="9" fillId="0" borderId="0" xfId="0" applyNumberFormat="1" applyFont="1"/>
    <xf numFmtId="0" fontId="8" fillId="2" borderId="0" xfId="0" applyFont="1" applyFill="1"/>
    <xf numFmtId="43" fontId="9" fillId="0" borderId="0" xfId="0" applyNumberFormat="1" applyFont="1"/>
    <xf numFmtId="0" fontId="8" fillId="2" borderId="3" xfId="0" applyFont="1" applyFill="1" applyBorder="1"/>
    <xf numFmtId="43" fontId="7" fillId="0" borderId="0" xfId="2" applyFont="1"/>
    <xf numFmtId="43" fontId="8" fillId="2" borderId="0" xfId="0" applyNumberFormat="1" applyFont="1" applyFill="1"/>
    <xf numFmtId="2" fontId="8" fillId="2" borderId="0" xfId="0" applyNumberFormat="1" applyFont="1" applyFill="1"/>
    <xf numFmtId="10" fontId="7" fillId="0" borderId="0" xfId="1" applyNumberFormat="1" applyFont="1"/>
    <xf numFmtId="43" fontId="7" fillId="0" borderId="0" xfId="0" applyNumberFormat="1" applyFont="1"/>
    <xf numFmtId="43" fontId="9" fillId="0" borderId="0" xfId="2" applyFont="1" applyAlignment="1"/>
    <xf numFmtId="43" fontId="8" fillId="2" borderId="3" xfId="0" applyNumberFormat="1" applyFont="1" applyFill="1" applyBorder="1"/>
    <xf numFmtId="0" fontId="7" fillId="2" borderId="3" xfId="0" applyFont="1" applyFill="1" applyBorder="1"/>
    <xf numFmtId="9" fontId="8" fillId="0" borderId="0" xfId="1" applyFont="1"/>
    <xf numFmtId="0" fontId="7" fillId="2" borderId="0" xfId="0" applyFont="1" applyFill="1"/>
    <xf numFmtId="43" fontId="7" fillId="2" borderId="0" xfId="0" applyNumberFormat="1" applyFont="1" applyFill="1"/>
    <xf numFmtId="2" fontId="7" fillId="2" borderId="0" xfId="0" applyNumberFormat="1" applyFont="1" applyFill="1"/>
    <xf numFmtId="43" fontId="7" fillId="0" borderId="0" xfId="2" applyFont="1" applyAlignment="1">
      <alignment vertical="top" wrapText="1"/>
    </xf>
    <xf numFmtId="43" fontId="7" fillId="0" borderId="0" xfId="2" applyFont="1" applyAlignment="1">
      <alignment wrapText="1"/>
    </xf>
    <xf numFmtId="9" fontId="7" fillId="0" borderId="0" xfId="1" applyNumberFormat="1" applyFont="1"/>
    <xf numFmtId="43" fontId="7" fillId="0" borderId="0" xfId="1" applyNumberFormat="1" applyFont="1"/>
    <xf numFmtId="2" fontId="9" fillId="0" borderId="0" xfId="0" applyNumberFormat="1" applyFont="1" applyAlignment="1">
      <alignment wrapText="1"/>
    </xf>
    <xf numFmtId="0" fontId="8" fillId="0" borderId="0" xfId="0" applyFont="1"/>
    <xf numFmtId="9" fontId="7" fillId="0" borderId="0" xfId="1" applyFont="1"/>
    <xf numFmtId="0" fontId="7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2" fontId="8" fillId="0" borderId="0" xfId="0" applyNumberFormat="1" applyFont="1" applyBorder="1" applyAlignment="1">
      <alignment wrapText="1"/>
    </xf>
    <xf numFmtId="0" fontId="8" fillId="0" borderId="0" xfId="0" applyFont="1"/>
    <xf numFmtId="0" fontId="11" fillId="0" borderId="0" xfId="0" applyFont="1"/>
    <xf numFmtId="10" fontId="12" fillId="0" borderId="0" xfId="1" applyNumberFormat="1" applyFont="1" applyBorder="1" applyAlignment="1">
      <alignment wrapText="1"/>
    </xf>
    <xf numFmtId="0" fontId="12" fillId="0" borderId="0" xfId="0" applyFont="1"/>
    <xf numFmtId="0" fontId="13" fillId="0" borderId="0" xfId="0" applyFont="1"/>
    <xf numFmtId="2" fontId="14" fillId="0" borderId="0" xfId="0" applyNumberFormat="1" applyFont="1" applyBorder="1" applyAlignment="1">
      <alignment wrapText="1"/>
    </xf>
    <xf numFmtId="0" fontId="14" fillId="0" borderId="0" xfId="0" applyFont="1"/>
    <xf numFmtId="2" fontId="15" fillId="0" borderId="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6" fillId="0" borderId="0" xfId="0" applyFont="1" applyBorder="1"/>
    <xf numFmtId="10" fontId="12" fillId="0" borderId="0" xfId="0" applyNumberFormat="1" applyFont="1" applyBorder="1"/>
    <xf numFmtId="10" fontId="12" fillId="0" borderId="0" xfId="1" applyNumberFormat="1" applyFont="1" applyBorder="1"/>
    <xf numFmtId="10" fontId="11" fillId="0" borderId="0" xfId="1" applyNumberFormat="1" applyFont="1" applyBorder="1"/>
    <xf numFmtId="2" fontId="7" fillId="0" borderId="0" xfId="0" applyNumberFormat="1" applyFont="1" applyAlignment="1"/>
    <xf numFmtId="0" fontId="7" fillId="0" borderId="4" xfId="0" applyFont="1" applyBorder="1"/>
    <xf numFmtId="0" fontId="7" fillId="0" borderId="5" xfId="0" applyFont="1" applyBorder="1"/>
    <xf numFmtId="0" fontId="7" fillId="0" borderId="3" xfId="0" applyFont="1" applyBorder="1"/>
    <xf numFmtId="0" fontId="16" fillId="0" borderId="2" xfId="0" applyFont="1" applyBorder="1"/>
    <xf numFmtId="0" fontId="16" fillId="0" borderId="0" xfId="0" applyFont="1"/>
    <xf numFmtId="0" fontId="17" fillId="0" borderId="2" xfId="0" applyFont="1" applyBorder="1"/>
    <xf numFmtId="0" fontId="17" fillId="0" borderId="0" xfId="0" applyFont="1" applyBorder="1"/>
    <xf numFmtId="0" fontId="18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/>
    </xf>
    <xf numFmtId="10" fontId="14" fillId="0" borderId="0" xfId="1" applyNumberFormat="1" applyFont="1" applyFill="1" applyBorder="1" applyAlignment="1"/>
    <xf numFmtId="10" fontId="11" fillId="0" borderId="2" xfId="1" applyNumberFormat="1" applyFont="1" applyBorder="1"/>
    <xf numFmtId="0" fontId="18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>
      <alignment horizontal="left" vertical="top"/>
    </xf>
    <xf numFmtId="2" fontId="15" fillId="0" borderId="2" xfId="0" applyNumberFormat="1" applyFont="1" applyBorder="1" applyAlignment="1">
      <alignment wrapText="1"/>
    </xf>
    <xf numFmtId="10" fontId="11" fillId="0" borderId="2" xfId="1" applyNumberFormat="1" applyFont="1" applyFill="1" applyBorder="1" applyAlignment="1"/>
    <xf numFmtId="10" fontId="11" fillId="0" borderId="0" xfId="1" applyNumberFormat="1" applyFont="1" applyFill="1" applyBorder="1" applyAlignment="1"/>
    <xf numFmtId="0" fontId="18" fillId="0" borderId="0" xfId="0" applyFont="1" applyAlignment="1">
      <alignment vertical="top" wrapText="1"/>
    </xf>
    <xf numFmtId="2" fontId="18" fillId="0" borderId="0" xfId="0" applyNumberFormat="1" applyFont="1" applyBorder="1" applyAlignment="1">
      <alignment wrapText="1"/>
    </xf>
    <xf numFmtId="2" fontId="18" fillId="0" borderId="0" xfId="0" applyNumberFormat="1" applyFont="1" applyBorder="1" applyAlignment="1"/>
    <xf numFmtId="0" fontId="13" fillId="0" borderId="0" xfId="0" applyFont="1" applyAlignment="1">
      <alignment horizontal="right" vertical="top" wrapText="1"/>
    </xf>
    <xf numFmtId="2" fontId="13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/>
    <xf numFmtId="10" fontId="13" fillId="0" borderId="0" xfId="1" applyNumberFormat="1" applyFont="1" applyBorder="1" applyAlignment="1">
      <alignment wrapText="1"/>
    </xf>
    <xf numFmtId="10" fontId="12" fillId="0" borderId="2" xfId="1" applyNumberFormat="1" applyFont="1" applyBorder="1"/>
    <xf numFmtId="10" fontId="12" fillId="0" borderId="2" xfId="0" applyNumberFormat="1" applyFont="1" applyBorder="1"/>
    <xf numFmtId="0" fontId="8" fillId="0" borderId="0" xfId="0" applyFont="1" applyAlignment="1">
      <alignment horizontal="left" vertical="top" wrapText="1"/>
    </xf>
    <xf numFmtId="0" fontId="15" fillId="0" borderId="0" xfId="0" applyFont="1"/>
    <xf numFmtId="10" fontId="12" fillId="0" borderId="2" xfId="1" applyNumberFormat="1" applyFont="1" applyBorder="1" applyAlignment="1">
      <alignment wrapText="1"/>
    </xf>
    <xf numFmtId="2" fontId="19" fillId="0" borderId="2" xfId="0" applyNumberFormat="1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10" fontId="11" fillId="0" borderId="2" xfId="0" applyNumberFormat="1" applyFont="1" applyBorder="1"/>
    <xf numFmtId="10" fontId="11" fillId="0" borderId="0" xfId="0" applyNumberFormat="1" applyFont="1" applyBorder="1"/>
    <xf numFmtId="0" fontId="8" fillId="0" borderId="0" xfId="0" applyFont="1" applyFill="1" applyBorder="1" applyAlignment="1">
      <alignment horizontal="left" vertical="top"/>
    </xf>
    <xf numFmtId="0" fontId="20" fillId="0" borderId="0" xfId="0" applyFont="1" applyAlignment="1">
      <alignment vertical="top" wrapText="1"/>
    </xf>
    <xf numFmtId="2" fontId="18" fillId="0" borderId="0" xfId="0" applyNumberFormat="1" applyFont="1" applyBorder="1"/>
    <xf numFmtId="2" fontId="18" fillId="0" borderId="0" xfId="0" applyNumberFormat="1" applyFont="1" applyAlignment="1"/>
    <xf numFmtId="0" fontId="10" fillId="0" borderId="0" xfId="0" applyFont="1" applyAlignment="1">
      <alignment vertical="center" wrapText="1"/>
    </xf>
    <xf numFmtId="2" fontId="18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0" fontId="18" fillId="2" borderId="0" xfId="0" applyFont="1" applyFill="1" applyAlignment="1">
      <alignment vertical="top" wrapText="1"/>
    </xf>
    <xf numFmtId="2" fontId="18" fillId="2" borderId="0" xfId="0" applyNumberFormat="1" applyFont="1" applyFill="1" applyAlignment="1">
      <alignment wrapText="1"/>
    </xf>
    <xf numFmtId="0" fontId="8" fillId="2" borderId="0" xfId="0" applyFont="1" applyFill="1" applyAlignment="1">
      <alignment vertical="top" wrapText="1"/>
    </xf>
    <xf numFmtId="2" fontId="8" fillId="2" borderId="0" xfId="0" applyNumberFormat="1" applyFont="1" applyFill="1" applyAlignment="1">
      <alignment wrapText="1"/>
    </xf>
    <xf numFmtId="2" fontId="7" fillId="0" borderId="0" xfId="0" applyNumberFormat="1" applyFont="1" applyAlignment="1">
      <alignment wrapText="1"/>
    </xf>
    <xf numFmtId="0" fontId="21" fillId="0" borderId="0" xfId="0" applyFont="1" applyAlignment="1">
      <alignment vertical="top" wrapText="1"/>
    </xf>
    <xf numFmtId="2" fontId="21" fillId="0" borderId="0" xfId="0" applyNumberFormat="1" applyFont="1" applyAlignment="1">
      <alignment wrapText="1"/>
    </xf>
    <xf numFmtId="0" fontId="21" fillId="0" borderId="0" xfId="0" applyFont="1"/>
    <xf numFmtId="2" fontId="21" fillId="0" borderId="0" xfId="0" applyNumberFormat="1" applyFont="1"/>
    <xf numFmtId="2" fontId="20" fillId="0" borderId="0" xfId="0" applyNumberFormat="1" applyFont="1" applyAlignment="1">
      <alignment horizontal="center" vertical="center" wrapText="1"/>
    </xf>
    <xf numFmtId="2" fontId="18" fillId="0" borderId="0" xfId="0" applyNumberFormat="1" applyFont="1"/>
    <xf numFmtId="2" fontId="7" fillId="0" borderId="0" xfId="0" applyNumberFormat="1" applyFont="1"/>
    <xf numFmtId="0" fontId="7" fillId="0" borderId="0" xfId="0" applyFont="1" applyBorder="1"/>
    <xf numFmtId="0" fontId="7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7" fillId="0" borderId="4" xfId="0" applyNumberFormat="1" applyFont="1" applyBorder="1"/>
    <xf numFmtId="2" fontId="7" fillId="0" borderId="7" xfId="0" applyNumberFormat="1" applyFont="1" applyBorder="1"/>
    <xf numFmtId="0" fontId="7" fillId="0" borderId="7" xfId="0" applyFont="1" applyBorder="1"/>
    <xf numFmtId="2" fontId="22" fillId="0" borderId="0" xfId="0" applyNumberFormat="1" applyFont="1"/>
    <xf numFmtId="0" fontId="22" fillId="0" borderId="0" xfId="0" applyFont="1"/>
    <xf numFmtId="0" fontId="22" fillId="0" borderId="0" xfId="0" applyFont="1" applyBorder="1"/>
    <xf numFmtId="2" fontId="8" fillId="0" borderId="4" xfId="0" applyNumberFormat="1" applyFont="1" applyBorder="1"/>
    <xf numFmtId="2" fontId="8" fillId="0" borderId="7" xfId="0" applyNumberFormat="1" applyFont="1" applyBorder="1"/>
    <xf numFmtId="0" fontId="7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/>
    <xf numFmtId="0" fontId="7" fillId="3" borderId="4" xfId="0" applyFont="1" applyFill="1" applyBorder="1"/>
    <xf numFmtId="2" fontId="7" fillId="3" borderId="4" xfId="0" applyNumberFormat="1" applyFont="1" applyFill="1" applyBorder="1"/>
    <xf numFmtId="2" fontId="22" fillId="3" borderId="0" xfId="0" applyNumberFormat="1" applyFont="1" applyFill="1"/>
    <xf numFmtId="0" fontId="7" fillId="3" borderId="3" xfId="0" applyFont="1" applyFill="1" applyBorder="1"/>
    <xf numFmtId="2" fontId="7" fillId="3" borderId="7" xfId="0" applyNumberFormat="1" applyFont="1" applyFill="1" applyBorder="1"/>
    <xf numFmtId="2" fontId="16" fillId="0" borderId="2" xfId="0" applyNumberFormat="1" applyFont="1" applyBorder="1"/>
    <xf numFmtId="2" fontId="15" fillId="0" borderId="2" xfId="0" applyNumberFormat="1" applyFont="1" applyBorder="1"/>
    <xf numFmtId="2" fontId="15" fillId="0" borderId="0" xfId="0" applyNumberFormat="1" applyFont="1" applyBorder="1"/>
    <xf numFmtId="2" fontId="16" fillId="0" borderId="0" xfId="0" applyNumberFormat="1" applyFont="1" applyBorder="1"/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0" fontId="7" fillId="0" borderId="0" xfId="1" applyNumberFormat="1" applyFont="1" applyFill="1" applyAlignment="1"/>
    <xf numFmtId="3" fontId="7" fillId="0" borderId="0" xfId="0" applyNumberFormat="1" applyFont="1" applyFill="1" applyAlignment="1"/>
    <xf numFmtId="0" fontId="7" fillId="0" borderId="0" xfId="0" applyFont="1" applyAlignment="1">
      <alignment horizontal="right"/>
    </xf>
    <xf numFmtId="10" fontId="7" fillId="0" borderId="0" xfId="0" applyNumberFormat="1" applyFont="1"/>
    <xf numFmtId="0" fontId="7" fillId="0" borderId="0" xfId="0" applyFont="1" applyAlignment="1">
      <alignment horizontal="right" vertical="top" wrapText="1"/>
    </xf>
    <xf numFmtId="2" fontId="15" fillId="0" borderId="4" xfId="0" applyNumberFormat="1" applyFont="1" applyBorder="1"/>
    <xf numFmtId="2" fontId="16" fillId="0" borderId="2" xfId="0" applyNumberFormat="1" applyFont="1" applyFill="1" applyBorder="1"/>
    <xf numFmtId="2" fontId="16" fillId="0" borderId="0" xfId="0" applyNumberFormat="1" applyFont="1" applyFill="1" applyBorder="1"/>
    <xf numFmtId="0" fontId="16" fillId="0" borderId="2" xfId="0" applyFont="1" applyFill="1" applyBorder="1"/>
    <xf numFmtId="0" fontId="16" fillId="0" borderId="0" xfId="0" applyFont="1" applyFill="1" applyBorder="1"/>
    <xf numFmtId="43" fontId="25" fillId="0" borderId="0" xfId="2" applyFont="1"/>
    <xf numFmtId="0" fontId="26" fillId="0" borderId="0" xfId="0" applyFont="1"/>
    <xf numFmtId="43" fontId="26" fillId="0" borderId="0" xfId="2" applyFont="1" applyBorder="1"/>
    <xf numFmtId="0" fontId="26" fillId="0" borderId="0" xfId="0" applyFont="1" applyBorder="1"/>
    <xf numFmtId="2" fontId="16" fillId="0" borderId="8" xfId="0" applyNumberFormat="1" applyFont="1" applyFill="1" applyBorder="1"/>
    <xf numFmtId="2" fontId="16" fillId="0" borderId="9" xfId="0" applyNumberFormat="1" applyFont="1" applyFill="1" applyBorder="1"/>
    <xf numFmtId="0" fontId="7" fillId="0" borderId="10" xfId="0" applyFont="1" applyBorder="1"/>
    <xf numFmtId="2" fontId="16" fillId="0" borderId="8" xfId="0" applyNumberFormat="1" applyFont="1" applyBorder="1"/>
    <xf numFmtId="2" fontId="17" fillId="0" borderId="0" xfId="0" applyNumberFormat="1" applyFont="1" applyBorder="1"/>
    <xf numFmtId="0" fontId="27" fillId="0" borderId="0" xfId="0" applyFont="1" applyBorder="1"/>
    <xf numFmtId="0" fontId="27" fillId="4" borderId="0" xfId="0" applyFont="1" applyFill="1" applyBorder="1"/>
    <xf numFmtId="0" fontId="16" fillId="4" borderId="0" xfId="0" applyFont="1" applyFill="1" applyBorder="1"/>
    <xf numFmtId="174" fontId="7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zoomScale="190" zoomScaleNormal="190" workbookViewId="0">
      <selection activeCell="A19" sqref="A19"/>
    </sheetView>
  </sheetViews>
  <sheetFormatPr defaultRowHeight="12.75" x14ac:dyDescent="0.2"/>
  <cols>
    <col min="1" max="1" width="36.5703125" style="53" bestFit="1" customWidth="1"/>
    <col min="2" max="7" width="14.5703125" style="53" customWidth="1"/>
    <col min="8" max="16384" width="9.140625" style="53"/>
  </cols>
  <sheetData>
    <row r="1" spans="1:7" ht="25.5" x14ac:dyDescent="0.2">
      <c r="A1" s="54" t="s">
        <v>0</v>
      </c>
      <c r="B1" s="153" t="s">
        <v>1</v>
      </c>
      <c r="C1" s="153"/>
      <c r="D1" s="153"/>
      <c r="E1" s="153"/>
      <c r="F1" s="153"/>
      <c r="G1" s="153"/>
    </row>
    <row r="2" spans="1:7" ht="25.5" x14ac:dyDescent="0.2">
      <c r="A2" s="54" t="s">
        <v>2</v>
      </c>
      <c r="B2" s="54" t="s">
        <v>35</v>
      </c>
      <c r="C2" s="54" t="s">
        <v>34</v>
      </c>
      <c r="D2" s="54" t="s">
        <v>31</v>
      </c>
      <c r="E2" s="54" t="s">
        <v>5</v>
      </c>
      <c r="F2" s="54" t="s">
        <v>4</v>
      </c>
      <c r="G2" s="54" t="s">
        <v>3</v>
      </c>
    </row>
    <row r="3" spans="1:7" x14ac:dyDescent="0.2">
      <c r="A3" s="94" t="s">
        <v>6</v>
      </c>
      <c r="B3" s="126"/>
      <c r="C3" s="126"/>
      <c r="D3" s="126"/>
      <c r="E3" s="115">
        <v>34625</v>
      </c>
      <c r="F3" s="115">
        <v>37280</v>
      </c>
      <c r="G3" s="115">
        <v>40246</v>
      </c>
    </row>
    <row r="4" spans="1:7" x14ac:dyDescent="0.2">
      <c r="A4" s="94" t="s">
        <v>7</v>
      </c>
      <c r="B4" s="126"/>
      <c r="C4" s="126"/>
      <c r="D4" s="126"/>
      <c r="E4" s="115">
        <v>7653</v>
      </c>
      <c r="F4" s="115">
        <v>7761</v>
      </c>
      <c r="G4" s="115">
        <v>8567</v>
      </c>
    </row>
    <row r="5" spans="1:7" x14ac:dyDescent="0.2">
      <c r="A5" s="57" t="s">
        <v>8</v>
      </c>
      <c r="B5" s="115">
        <v>36149</v>
      </c>
      <c r="C5" s="115">
        <v>38063</v>
      </c>
      <c r="D5" s="113">
        <v>40893</v>
      </c>
      <c r="E5" s="116">
        <f>E3+E4</f>
        <v>42278</v>
      </c>
      <c r="F5" s="116">
        <v>45041</v>
      </c>
      <c r="G5" s="116">
        <v>48813</v>
      </c>
    </row>
    <row r="6" spans="1:7" ht="25.5" x14ac:dyDescent="0.2">
      <c r="A6" s="94" t="s">
        <v>9</v>
      </c>
      <c r="B6" s="115"/>
      <c r="C6" s="115"/>
      <c r="D6" s="113"/>
      <c r="E6" s="115">
        <v>-18625</v>
      </c>
      <c r="F6" s="115">
        <v>-20090</v>
      </c>
      <c r="G6" s="115">
        <v>-21356</v>
      </c>
    </row>
    <row r="7" spans="1:7" ht="25.5" x14ac:dyDescent="0.2">
      <c r="A7" s="94" t="s">
        <v>10</v>
      </c>
      <c r="B7" s="115"/>
      <c r="C7" s="115"/>
      <c r="D7" s="113"/>
      <c r="E7" s="115">
        <v>-4843</v>
      </c>
      <c r="F7" s="115">
        <v>-4944</v>
      </c>
      <c r="G7" s="115">
        <v>-5064</v>
      </c>
    </row>
    <row r="8" spans="1:7" x14ac:dyDescent="0.2">
      <c r="A8" s="94" t="s">
        <v>11</v>
      </c>
      <c r="B8" s="115"/>
      <c r="C8" s="115"/>
      <c r="D8" s="113"/>
      <c r="E8" s="115">
        <v>-7960</v>
      </c>
      <c r="F8" s="115">
        <v>-8365</v>
      </c>
      <c r="G8" s="115">
        <v>-8565</v>
      </c>
    </row>
    <row r="9" spans="1:7" x14ac:dyDescent="0.2">
      <c r="A9" s="94" t="s">
        <v>12</v>
      </c>
      <c r="B9" s="115"/>
      <c r="C9" s="115"/>
      <c r="D9" s="113"/>
      <c r="E9" s="115">
        <v>-1987</v>
      </c>
      <c r="F9" s="115">
        <v>-2192</v>
      </c>
      <c r="G9" s="115">
        <v>-2288</v>
      </c>
    </row>
    <row r="10" spans="1:7" x14ac:dyDescent="0.2">
      <c r="A10" s="57" t="s">
        <v>13</v>
      </c>
      <c r="B10" s="115">
        <v>-30452</v>
      </c>
      <c r="C10" s="115">
        <v>-31337</v>
      </c>
      <c r="D10" s="113">
        <v>-33112</v>
      </c>
      <c r="E10" s="116">
        <f>SUM(E6:E9)</f>
        <v>-33415</v>
      </c>
      <c r="F10" s="116">
        <f t="shared" ref="F10:G10" si="0">SUM(F6:F9)</f>
        <v>-35591</v>
      </c>
      <c r="G10" s="116">
        <f t="shared" si="0"/>
        <v>-37273</v>
      </c>
    </row>
    <row r="11" spans="1:7" x14ac:dyDescent="0.2">
      <c r="A11" s="94" t="s">
        <v>14</v>
      </c>
      <c r="B11" s="115">
        <v>-492</v>
      </c>
      <c r="C11" s="115">
        <v>-270</v>
      </c>
      <c r="D11" s="113">
        <v>-55</v>
      </c>
      <c r="E11" s="115">
        <v>-100</v>
      </c>
      <c r="F11" s="115">
        <v>-214</v>
      </c>
      <c r="G11" s="115">
        <v>-140</v>
      </c>
    </row>
    <row r="12" spans="1:7" x14ac:dyDescent="0.2">
      <c r="A12" s="94" t="s">
        <v>15</v>
      </c>
      <c r="B12" s="115">
        <v>342</v>
      </c>
      <c r="C12" s="115">
        <v>140</v>
      </c>
      <c r="D12" s="113">
        <v>75</v>
      </c>
      <c r="E12" s="115">
        <v>239</v>
      </c>
      <c r="F12" s="115">
        <v>-69</v>
      </c>
      <c r="G12" s="115">
        <v>-31</v>
      </c>
    </row>
    <row r="13" spans="1:7" x14ac:dyDescent="0.2">
      <c r="A13" s="94" t="s">
        <v>16</v>
      </c>
      <c r="B13" s="115">
        <v>-466</v>
      </c>
      <c r="C13" s="115">
        <v>-409</v>
      </c>
      <c r="D13" s="113">
        <v>-343</v>
      </c>
      <c r="E13" s="115">
        <v>-369</v>
      </c>
      <c r="F13" s="115">
        <v>-235</v>
      </c>
      <c r="G13" s="115">
        <v>23</v>
      </c>
    </row>
    <row r="14" spans="1:7" x14ac:dyDescent="0.2">
      <c r="A14" s="94" t="s">
        <v>17</v>
      </c>
      <c r="B14" s="115">
        <v>577</v>
      </c>
      <c r="C14" s="115">
        <v>440</v>
      </c>
      <c r="D14" s="113">
        <v>585</v>
      </c>
      <c r="E14" s="115">
        <v>627</v>
      </c>
      <c r="F14" s="115">
        <v>688</v>
      </c>
      <c r="G14" s="115">
        <v>854</v>
      </c>
    </row>
    <row r="15" spans="1:7" s="59" customFormat="1" x14ac:dyDescent="0.2">
      <c r="A15" s="57" t="s">
        <v>18</v>
      </c>
      <c r="B15" s="116">
        <f>+B5+B10+SUM(B11:B14)</f>
        <v>5658</v>
      </c>
      <c r="C15" s="116">
        <f t="shared" ref="C15:G15" si="1">+C5+C10+SUM(C11:C14)</f>
        <v>6627</v>
      </c>
      <c r="D15" s="116">
        <f t="shared" si="1"/>
        <v>8043</v>
      </c>
      <c r="E15" s="116">
        <f t="shared" si="1"/>
        <v>9260</v>
      </c>
      <c r="F15" s="116">
        <f t="shared" si="1"/>
        <v>9620</v>
      </c>
      <c r="G15" s="116">
        <f t="shared" si="1"/>
        <v>12246</v>
      </c>
    </row>
    <row r="16" spans="1:7" x14ac:dyDescent="0.2">
      <c r="A16" s="94" t="s">
        <v>19</v>
      </c>
      <c r="B16" s="115">
        <v>-2049</v>
      </c>
      <c r="C16" s="115">
        <v>-2314</v>
      </c>
      <c r="D16" s="113">
        <v>-2785</v>
      </c>
      <c r="E16" s="115">
        <v>-3087</v>
      </c>
      <c r="F16" s="115">
        <v>-2984</v>
      </c>
      <c r="G16" s="115">
        <v>-4242</v>
      </c>
    </row>
    <row r="17" spans="1:7" s="59" customFormat="1" x14ac:dyDescent="0.2">
      <c r="A17" s="57" t="s">
        <v>20</v>
      </c>
      <c r="B17" s="116">
        <f>+B15+B16</f>
        <v>3609</v>
      </c>
      <c r="C17" s="116">
        <f t="shared" ref="C17:G17" si="2">+C15+C16</f>
        <v>4313</v>
      </c>
      <c r="D17" s="116">
        <f t="shared" si="2"/>
        <v>5258</v>
      </c>
      <c r="E17" s="116">
        <f t="shared" si="2"/>
        <v>6173</v>
      </c>
      <c r="F17" s="116">
        <f t="shared" si="2"/>
        <v>6636</v>
      </c>
      <c r="G17" s="116">
        <f t="shared" si="2"/>
        <v>8004</v>
      </c>
    </row>
    <row r="18" spans="1:7" ht="25.5" x14ac:dyDescent="0.2">
      <c r="A18" s="94" t="s">
        <v>21</v>
      </c>
      <c r="B18" s="115">
        <v>-302</v>
      </c>
      <c r="C18" s="115">
        <v>-350</v>
      </c>
      <c r="D18" s="113">
        <v>-451</v>
      </c>
      <c r="E18" s="115">
        <v>-491</v>
      </c>
      <c r="F18" s="115">
        <v>-500</v>
      </c>
      <c r="G18" s="115">
        <v>-503</v>
      </c>
    </row>
    <row r="19" spans="1:7" s="59" customFormat="1" ht="25.5" x14ac:dyDescent="0.2">
      <c r="A19" s="57" t="s">
        <v>22</v>
      </c>
      <c r="B19" s="116">
        <f>+B17+B18</f>
        <v>3307</v>
      </c>
      <c r="C19" s="116">
        <f t="shared" ref="C19:G19" si="3">+C17+C18</f>
        <v>3963</v>
      </c>
      <c r="D19" s="116">
        <f t="shared" si="3"/>
        <v>4807</v>
      </c>
      <c r="E19" s="116">
        <f t="shared" si="3"/>
        <v>5682</v>
      </c>
      <c r="F19" s="116">
        <f t="shared" si="3"/>
        <v>6136</v>
      </c>
      <c r="G19" s="116">
        <f t="shared" si="3"/>
        <v>7501</v>
      </c>
    </row>
    <row r="20" spans="1:7" x14ac:dyDescent="0.2">
      <c r="A20" s="111" t="s">
        <v>23</v>
      </c>
      <c r="B20" s="115"/>
      <c r="C20" s="115"/>
      <c r="D20" s="113" t="s">
        <v>24</v>
      </c>
      <c r="E20" s="115" t="s">
        <v>24</v>
      </c>
      <c r="F20" s="115" t="s">
        <v>24</v>
      </c>
      <c r="G20" s="115" t="s">
        <v>24</v>
      </c>
    </row>
    <row r="21" spans="1:7" s="59" customFormat="1" x14ac:dyDescent="0.2">
      <c r="A21" s="57" t="s">
        <v>25</v>
      </c>
      <c r="B21" s="116">
        <f>+B19/B24</f>
        <v>1.7637333333333334</v>
      </c>
      <c r="C21" s="116">
        <f t="shared" ref="C21:G21" si="4">+C19/C24</f>
        <v>2.0343942505133472</v>
      </c>
      <c r="D21" s="116">
        <f t="shared" si="4"/>
        <v>2.5180722891566263</v>
      </c>
      <c r="E21" s="116">
        <f t="shared" si="4"/>
        <v>3.1254125412541254</v>
      </c>
      <c r="F21" s="116">
        <f t="shared" si="4"/>
        <v>3.3844456701599559</v>
      </c>
      <c r="G21" s="116">
        <f t="shared" si="4"/>
        <v>4.26435474701535</v>
      </c>
    </row>
    <row r="22" spans="1:7" s="59" customFormat="1" x14ac:dyDescent="0.2">
      <c r="A22" s="57" t="s">
        <v>26</v>
      </c>
      <c r="B22" s="116">
        <f>+B19/B25</f>
        <v>1.7817887931034482</v>
      </c>
      <c r="C22" s="116">
        <f t="shared" ref="C22:G22" si="5">+C19/C25</f>
        <v>2.0694516971279375</v>
      </c>
      <c r="D22" s="116">
        <f t="shared" si="5"/>
        <v>2.5596379126730566</v>
      </c>
      <c r="E22" s="116">
        <f t="shared" si="5"/>
        <v>3.1672240802675584</v>
      </c>
      <c r="F22" s="116">
        <f t="shared" si="5"/>
        <v>3.4241071428571428</v>
      </c>
      <c r="G22" s="116">
        <f t="shared" si="5"/>
        <v>4.310919540229885</v>
      </c>
    </row>
    <row r="23" spans="1:7" ht="25.5" x14ac:dyDescent="0.2">
      <c r="A23" s="111" t="s">
        <v>27</v>
      </c>
      <c r="B23" s="115"/>
      <c r="C23" s="115"/>
      <c r="D23" s="113" t="s">
        <v>24</v>
      </c>
      <c r="E23" s="115" t="s">
        <v>24</v>
      </c>
      <c r="F23" s="115" t="s">
        <v>24</v>
      </c>
      <c r="G23" s="115" t="s">
        <v>24</v>
      </c>
    </row>
    <row r="24" spans="1:7" x14ac:dyDescent="0.2">
      <c r="A24" s="94" t="s">
        <v>28</v>
      </c>
      <c r="B24" s="115">
        <v>1875</v>
      </c>
      <c r="C24" s="115">
        <v>1948</v>
      </c>
      <c r="D24" s="113">
        <v>1909</v>
      </c>
      <c r="E24" s="115">
        <v>1818</v>
      </c>
      <c r="F24" s="115">
        <v>1813</v>
      </c>
      <c r="G24" s="115">
        <v>1759</v>
      </c>
    </row>
    <row r="25" spans="1:7" x14ac:dyDescent="0.2">
      <c r="A25" s="94" t="s">
        <v>29</v>
      </c>
      <c r="B25" s="115">
        <v>1856</v>
      </c>
      <c r="C25" s="115">
        <v>1915</v>
      </c>
      <c r="D25" s="113">
        <v>1878</v>
      </c>
      <c r="E25" s="115">
        <v>1794</v>
      </c>
      <c r="F25" s="115">
        <v>1792</v>
      </c>
      <c r="G25" s="115">
        <v>1740</v>
      </c>
    </row>
    <row r="26" spans="1:7" x14ac:dyDescent="0.2">
      <c r="A26" s="94" t="s">
        <v>30</v>
      </c>
      <c r="B26" s="127"/>
      <c r="C26" s="127"/>
      <c r="D26" s="127"/>
      <c r="E26" s="115">
        <v>0.6</v>
      </c>
      <c r="F26" s="115">
        <v>0.75</v>
      </c>
      <c r="G26" s="115">
        <v>0.86</v>
      </c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4" workbookViewId="0">
      <selection activeCell="A4" sqref="A1:G1048576"/>
    </sheetView>
  </sheetViews>
  <sheetFormatPr defaultRowHeight="12.75" x14ac:dyDescent="0.2"/>
  <cols>
    <col min="1" max="1" width="36.5703125" style="53" bestFit="1" customWidth="1"/>
    <col min="2" max="7" width="14.42578125" style="53" customWidth="1"/>
    <col min="8" max="16384" width="9.140625" style="53"/>
  </cols>
  <sheetData>
    <row r="1" spans="1:7" ht="25.5" x14ac:dyDescent="0.2">
      <c r="A1" s="54" t="s">
        <v>36</v>
      </c>
      <c r="B1" s="54" t="s">
        <v>35</v>
      </c>
      <c r="C1" s="54" t="s">
        <v>34</v>
      </c>
      <c r="D1" s="54" t="s">
        <v>31</v>
      </c>
      <c r="E1" s="54" t="s">
        <v>5</v>
      </c>
      <c r="F1" s="114" t="s">
        <v>4</v>
      </c>
      <c r="G1" s="114" t="s">
        <v>3</v>
      </c>
    </row>
    <row r="2" spans="1:7" x14ac:dyDescent="0.2">
      <c r="A2" s="54" t="s">
        <v>37</v>
      </c>
      <c r="B2" s="54"/>
      <c r="C2" s="54"/>
      <c r="D2" s="54"/>
      <c r="G2" s="114"/>
    </row>
    <row r="3" spans="1:7" x14ac:dyDescent="0.2">
      <c r="A3" s="56" t="s">
        <v>38</v>
      </c>
      <c r="B3" s="68"/>
      <c r="C3" s="68"/>
      <c r="D3" s="68"/>
      <c r="E3" s="68" t="s">
        <v>24</v>
      </c>
      <c r="F3" s="68" t="s">
        <v>24</v>
      </c>
      <c r="G3" s="68" t="s">
        <v>24</v>
      </c>
    </row>
    <row r="4" spans="1:7" x14ac:dyDescent="0.2">
      <c r="A4" s="94" t="s">
        <v>39</v>
      </c>
      <c r="B4" s="115">
        <v>3417</v>
      </c>
      <c r="C4" s="115">
        <v>2722</v>
      </c>
      <c r="D4" s="115">
        <v>3185</v>
      </c>
      <c r="E4" s="115">
        <v>3387</v>
      </c>
      <c r="F4" s="115">
        <v>3931</v>
      </c>
      <c r="G4" s="115">
        <v>3421</v>
      </c>
    </row>
    <row r="5" spans="1:7" x14ac:dyDescent="0.2">
      <c r="A5" s="94" t="s">
        <v>40</v>
      </c>
      <c r="B5" s="115">
        <v>4854</v>
      </c>
      <c r="C5" s="115">
        <v>5784</v>
      </c>
      <c r="D5" s="115">
        <v>6182</v>
      </c>
      <c r="E5" s="115">
        <v>6540</v>
      </c>
      <c r="F5" s="115">
        <v>6967</v>
      </c>
      <c r="G5" s="115">
        <v>7822</v>
      </c>
    </row>
    <row r="6" spans="1:7" x14ac:dyDescent="0.2">
      <c r="A6" s="94" t="s">
        <v>41</v>
      </c>
      <c r="B6" s="115">
        <v>1271</v>
      </c>
      <c r="C6" s="115">
        <v>1442</v>
      </c>
      <c r="D6" s="115">
        <v>1595</v>
      </c>
      <c r="E6" s="115">
        <v>1537</v>
      </c>
      <c r="F6" s="115">
        <v>1487</v>
      </c>
      <c r="G6" s="115">
        <v>1574</v>
      </c>
    </row>
    <row r="7" spans="1:7" x14ac:dyDescent="0.2">
      <c r="A7" s="94" t="s">
        <v>42</v>
      </c>
      <c r="B7" s="115">
        <v>631</v>
      </c>
      <c r="C7" s="115">
        <v>678</v>
      </c>
      <c r="D7" s="115">
        <v>674</v>
      </c>
      <c r="E7" s="115">
        <v>676</v>
      </c>
      <c r="F7" s="115">
        <v>634</v>
      </c>
      <c r="G7" s="115">
        <v>1061</v>
      </c>
    </row>
    <row r="8" spans="1:7" x14ac:dyDescent="0.2">
      <c r="A8" s="94" t="s">
        <v>43</v>
      </c>
      <c r="B8" s="115">
        <v>1140</v>
      </c>
      <c r="C8" s="115">
        <v>1018</v>
      </c>
      <c r="D8" s="115">
        <v>1487</v>
      </c>
      <c r="E8" s="115">
        <v>765</v>
      </c>
      <c r="F8" s="115">
        <v>485</v>
      </c>
      <c r="G8" s="115">
        <v>497</v>
      </c>
    </row>
    <row r="9" spans="1:7" x14ac:dyDescent="0.2">
      <c r="A9" s="94" t="s">
        <v>44</v>
      </c>
      <c r="B9" s="115">
        <v>576</v>
      </c>
      <c r="C9" s="115">
        <v>581</v>
      </c>
      <c r="D9" s="115">
        <v>634</v>
      </c>
      <c r="E9" s="115">
        <v>804</v>
      </c>
      <c r="F9" s="115">
        <v>605</v>
      </c>
      <c r="G9" s="115">
        <v>801</v>
      </c>
    </row>
    <row r="10" spans="1:7" s="59" customFormat="1" x14ac:dyDescent="0.2">
      <c r="A10" s="57" t="s">
        <v>45</v>
      </c>
      <c r="B10" s="116">
        <f>SUM(B4:B9)</f>
        <v>11889</v>
      </c>
      <c r="C10" s="116">
        <f t="shared" ref="C10:G10" si="0">SUM(C4:C9)</f>
        <v>12225</v>
      </c>
      <c r="D10" s="116">
        <f t="shared" si="0"/>
        <v>13757</v>
      </c>
      <c r="E10" s="116">
        <f t="shared" si="0"/>
        <v>13709</v>
      </c>
      <c r="F10" s="116">
        <f t="shared" si="0"/>
        <v>14109</v>
      </c>
      <c r="G10" s="116">
        <f t="shared" si="0"/>
        <v>15176</v>
      </c>
    </row>
    <row r="11" spans="1:7" x14ac:dyDescent="0.2">
      <c r="A11" s="94" t="s">
        <v>46</v>
      </c>
      <c r="B11" s="115">
        <v>5125</v>
      </c>
      <c r="C11" s="115">
        <v>4773</v>
      </c>
      <c r="D11" s="115">
        <v>4357</v>
      </c>
      <c r="E11" s="115">
        <v>4541</v>
      </c>
      <c r="F11" s="115">
        <v>4783</v>
      </c>
      <c r="G11" s="115">
        <v>5325</v>
      </c>
    </row>
    <row r="12" spans="1:7" x14ac:dyDescent="0.2">
      <c r="A12" s="94" t="s">
        <v>47</v>
      </c>
      <c r="B12" s="115">
        <v>2554</v>
      </c>
      <c r="C12" s="115">
        <v>2513</v>
      </c>
      <c r="D12" s="115">
        <v>2435</v>
      </c>
      <c r="E12" s="115">
        <v>2723</v>
      </c>
      <c r="F12" s="115">
        <v>2849</v>
      </c>
      <c r="G12" s="115">
        <v>2696</v>
      </c>
    </row>
    <row r="13" spans="1:7" x14ac:dyDescent="0.2">
      <c r="A13" s="117" t="s">
        <v>48</v>
      </c>
      <c r="B13" s="118">
        <v>32475</v>
      </c>
      <c r="C13" s="118">
        <v>32875</v>
      </c>
      <c r="D13" s="118">
        <v>35515</v>
      </c>
      <c r="E13" s="118">
        <v>38582</v>
      </c>
      <c r="F13" s="118">
        <v>41192</v>
      </c>
      <c r="G13" s="118">
        <v>42263</v>
      </c>
    </row>
    <row r="14" spans="1:7" x14ac:dyDescent="0.2">
      <c r="A14" s="117" t="s">
        <v>49</v>
      </c>
      <c r="B14" s="118">
        <v>-17395</v>
      </c>
      <c r="C14" s="118">
        <v>-18373</v>
      </c>
      <c r="D14" s="118">
        <v>-19572</v>
      </c>
      <c r="E14" s="118">
        <v>-20687</v>
      </c>
      <c r="F14" s="118">
        <v>-22459</v>
      </c>
      <c r="G14" s="118">
        <v>-23722</v>
      </c>
    </row>
    <row r="15" spans="1:7" s="59" customFormat="1" ht="25.5" x14ac:dyDescent="0.2">
      <c r="A15" s="119" t="s">
        <v>50</v>
      </c>
      <c r="B15" s="120">
        <f>SUM(B13:B14)</f>
        <v>15080</v>
      </c>
      <c r="C15" s="120">
        <f t="shared" ref="C15:G15" si="1">SUM(C13:C14)</f>
        <v>14502</v>
      </c>
      <c r="D15" s="120">
        <f t="shared" si="1"/>
        <v>15943</v>
      </c>
      <c r="E15" s="120">
        <f t="shared" si="1"/>
        <v>17895</v>
      </c>
      <c r="F15" s="120">
        <f t="shared" si="1"/>
        <v>18733</v>
      </c>
      <c r="G15" s="120">
        <f t="shared" si="1"/>
        <v>18541</v>
      </c>
    </row>
    <row r="16" spans="1:7" x14ac:dyDescent="0.2">
      <c r="A16" s="117" t="s">
        <v>51</v>
      </c>
      <c r="B16" s="118">
        <v>1350</v>
      </c>
      <c r="C16" s="118">
        <v>2180</v>
      </c>
      <c r="D16" s="118">
        <v>2625</v>
      </c>
      <c r="E16" s="118">
        <v>2453</v>
      </c>
      <c r="F16" s="118">
        <v>2476</v>
      </c>
      <c r="G16" s="118">
        <v>3553</v>
      </c>
    </row>
    <row r="17" spans="1:7" x14ac:dyDescent="0.2">
      <c r="A17" s="117" t="s">
        <v>52</v>
      </c>
      <c r="B17" s="118">
        <v>1167</v>
      </c>
      <c r="C17" s="118">
        <v>1124</v>
      </c>
      <c r="D17" s="118">
        <v>1127</v>
      </c>
      <c r="E17" s="118">
        <v>1164</v>
      </c>
      <c r="F17" s="118">
        <v>1171</v>
      </c>
      <c r="G17" s="118">
        <v>1238</v>
      </c>
    </row>
    <row r="18" spans="1:7" s="59" customFormat="1" ht="25.5" x14ac:dyDescent="0.2">
      <c r="A18" s="119" t="s">
        <v>108</v>
      </c>
      <c r="B18" s="120">
        <f>+SUM(B15:B17)</f>
        <v>17597</v>
      </c>
      <c r="C18" s="120">
        <f t="shared" ref="C18:G18" si="2">+SUM(C15:C17)</f>
        <v>17806</v>
      </c>
      <c r="D18" s="120">
        <f t="shared" si="2"/>
        <v>19695</v>
      </c>
      <c r="E18" s="120">
        <f t="shared" si="2"/>
        <v>21512</v>
      </c>
      <c r="F18" s="120">
        <f t="shared" si="2"/>
        <v>22380</v>
      </c>
      <c r="G18" s="120">
        <f t="shared" si="2"/>
        <v>23332</v>
      </c>
    </row>
    <row r="19" spans="1:7" x14ac:dyDescent="0.2">
      <c r="A19" s="94" t="s">
        <v>53</v>
      </c>
      <c r="B19" s="115">
        <v>2247</v>
      </c>
      <c r="C19" s="115">
        <v>5081</v>
      </c>
      <c r="D19" s="115">
        <v>5121</v>
      </c>
      <c r="E19" s="115">
        <v>5015</v>
      </c>
      <c r="F19" s="115">
        <v>7370</v>
      </c>
      <c r="G19" s="115">
        <v>7434</v>
      </c>
    </row>
    <row r="20" spans="1:7" x14ac:dyDescent="0.2">
      <c r="A20" s="94" t="s">
        <v>54</v>
      </c>
      <c r="B20" s="115">
        <v>21683</v>
      </c>
      <c r="C20" s="115">
        <v>24100</v>
      </c>
      <c r="D20" s="115">
        <v>24145</v>
      </c>
      <c r="E20" s="115">
        <v>25110</v>
      </c>
      <c r="F20" s="115">
        <v>27324</v>
      </c>
      <c r="G20" s="115">
        <v>27881</v>
      </c>
    </row>
    <row r="21" spans="1:7" x14ac:dyDescent="0.2">
      <c r="A21" s="94" t="s">
        <v>55</v>
      </c>
      <c r="B21" s="115">
        <v>2022</v>
      </c>
      <c r="C21" s="115">
        <v>2708</v>
      </c>
      <c r="D21" s="115">
        <v>2614</v>
      </c>
      <c r="E21" s="115">
        <v>2288</v>
      </c>
      <c r="F21" s="115">
        <v>2426</v>
      </c>
      <c r="G21" s="115">
        <v>2342</v>
      </c>
    </row>
    <row r="22" spans="1:7" s="59" customFormat="1" x14ac:dyDescent="0.2">
      <c r="A22" s="57" t="s">
        <v>56</v>
      </c>
      <c r="B22" s="116">
        <f>+B10+B11+B12+SUM(B18:B21)</f>
        <v>63117</v>
      </c>
      <c r="C22" s="116">
        <f t="shared" ref="C22:G22" si="3">+C10+C11+C12+SUM(C18:C21)</f>
        <v>69206</v>
      </c>
      <c r="D22" s="116">
        <f t="shared" si="3"/>
        <v>72124</v>
      </c>
      <c r="E22" s="116">
        <f t="shared" si="3"/>
        <v>74898</v>
      </c>
      <c r="F22" s="116">
        <f t="shared" si="3"/>
        <v>81241</v>
      </c>
      <c r="G22" s="116">
        <f t="shared" si="3"/>
        <v>84186</v>
      </c>
    </row>
    <row r="23" spans="1:7" x14ac:dyDescent="0.2">
      <c r="A23" s="56" t="s">
        <v>57</v>
      </c>
      <c r="B23" s="121"/>
      <c r="C23" s="121"/>
      <c r="D23" s="121"/>
      <c r="E23" s="121" t="s">
        <v>24</v>
      </c>
      <c r="F23" s="121" t="s">
        <v>24</v>
      </c>
      <c r="G23" s="121" t="s">
        <v>24</v>
      </c>
    </row>
    <row r="24" spans="1:7" ht="25.5" x14ac:dyDescent="0.2">
      <c r="A24" s="94" t="s">
        <v>58</v>
      </c>
      <c r="B24" s="115">
        <v>5616</v>
      </c>
      <c r="C24" s="115">
        <v>6109</v>
      </c>
      <c r="D24" s="115">
        <v>6362</v>
      </c>
      <c r="E24" s="115">
        <v>6393</v>
      </c>
      <c r="F24" s="115">
        <v>6803</v>
      </c>
      <c r="G24" s="115">
        <v>7595</v>
      </c>
    </row>
    <row r="25" spans="1:7" x14ac:dyDescent="0.2">
      <c r="A25" s="94" t="s">
        <v>59</v>
      </c>
      <c r="B25" s="115">
        <v>1206</v>
      </c>
      <c r="C25" s="115">
        <v>2350</v>
      </c>
      <c r="D25" s="115">
        <v>3055</v>
      </c>
      <c r="E25" s="115">
        <v>3614</v>
      </c>
      <c r="F25" s="115">
        <v>1512</v>
      </c>
      <c r="G25" s="115">
        <v>2164</v>
      </c>
    </row>
    <row r="26" spans="1:7" x14ac:dyDescent="0.2">
      <c r="A26" s="94" t="s">
        <v>60</v>
      </c>
      <c r="B26" s="115">
        <v>2112</v>
      </c>
      <c r="C26" s="115">
        <v>2541</v>
      </c>
      <c r="D26" s="115">
        <v>2671</v>
      </c>
      <c r="E26" s="115">
        <v>2806</v>
      </c>
      <c r="F26" s="115">
        <v>3389</v>
      </c>
      <c r="G26" s="115">
        <v>3533</v>
      </c>
    </row>
    <row r="27" spans="1:7" s="124" customFormat="1" x14ac:dyDescent="0.2">
      <c r="A27" s="122" t="s">
        <v>61</v>
      </c>
      <c r="B27" s="123">
        <f>+SUM(B24:B26)</f>
        <v>8934</v>
      </c>
      <c r="C27" s="123">
        <f t="shared" ref="C27:G27" si="4">+SUM(C24:C26)</f>
        <v>11000</v>
      </c>
      <c r="D27" s="123">
        <f t="shared" si="4"/>
        <v>12088</v>
      </c>
      <c r="E27" s="123">
        <f t="shared" si="4"/>
        <v>12813</v>
      </c>
      <c r="F27" s="123">
        <f t="shared" si="4"/>
        <v>11704</v>
      </c>
      <c r="G27" s="123">
        <f t="shared" si="4"/>
        <v>13292</v>
      </c>
    </row>
    <row r="28" spans="1:7" x14ac:dyDescent="0.2">
      <c r="A28" s="94" t="s">
        <v>62</v>
      </c>
      <c r="B28" s="115">
        <v>11495</v>
      </c>
      <c r="C28" s="115">
        <v>10130</v>
      </c>
      <c r="D28" s="115">
        <v>10922</v>
      </c>
      <c r="E28" s="115">
        <v>10697</v>
      </c>
      <c r="F28" s="115">
        <v>12776</v>
      </c>
      <c r="G28" s="115">
        <v>12676</v>
      </c>
    </row>
    <row r="29" spans="1:7" x14ac:dyDescent="0.2">
      <c r="A29" s="94" t="s">
        <v>43</v>
      </c>
      <c r="B29" s="115">
        <v>1819</v>
      </c>
      <c r="C29" s="115">
        <v>2630</v>
      </c>
      <c r="D29" s="115">
        <v>2866</v>
      </c>
      <c r="E29" s="115">
        <v>2251</v>
      </c>
      <c r="F29" s="115">
        <v>4050</v>
      </c>
      <c r="G29" s="115">
        <v>4098</v>
      </c>
    </row>
    <row r="30" spans="1:7" x14ac:dyDescent="0.2">
      <c r="A30" s="94" t="s">
        <v>63</v>
      </c>
      <c r="B30" s="115">
        <v>5444</v>
      </c>
      <c r="C30" s="115">
        <v>6104</v>
      </c>
      <c r="D30" s="115">
        <v>6795</v>
      </c>
      <c r="E30" s="115">
        <v>7179</v>
      </c>
      <c r="F30" s="115">
        <v>4561</v>
      </c>
      <c r="G30" s="115">
        <v>5942</v>
      </c>
    </row>
    <row r="31" spans="1:7" x14ac:dyDescent="0.2">
      <c r="A31" s="94" t="s">
        <v>64</v>
      </c>
      <c r="B31" s="115"/>
      <c r="C31" s="115"/>
      <c r="D31" s="115" t="s">
        <v>77</v>
      </c>
      <c r="E31" s="115" t="s">
        <v>65</v>
      </c>
      <c r="F31" s="115" t="s">
        <v>65</v>
      </c>
      <c r="G31" s="115" t="s">
        <v>65</v>
      </c>
    </row>
    <row r="32" spans="1:7" x14ac:dyDescent="0.2">
      <c r="A32" s="56" t="s">
        <v>66</v>
      </c>
      <c r="B32" s="121"/>
      <c r="C32" s="121"/>
      <c r="D32" s="121"/>
      <c r="E32" s="121" t="s">
        <v>24</v>
      </c>
      <c r="F32" s="121" t="s">
        <v>24</v>
      </c>
      <c r="G32" s="121" t="s">
        <v>24</v>
      </c>
    </row>
    <row r="33" spans="1:7" ht="25.5" x14ac:dyDescent="0.2">
      <c r="A33" s="94" t="s">
        <v>67</v>
      </c>
      <c r="B33" s="115"/>
      <c r="C33" s="115"/>
      <c r="D33" s="115" t="s">
        <v>77</v>
      </c>
      <c r="E33" s="115">
        <v>0</v>
      </c>
      <c r="F33" s="115">
        <v>0</v>
      </c>
      <c r="G33" s="115">
        <v>0</v>
      </c>
    </row>
    <row r="34" spans="1:7" ht="38.25" x14ac:dyDescent="0.2">
      <c r="A34" s="94" t="s">
        <v>68</v>
      </c>
      <c r="B34" s="115">
        <v>27038</v>
      </c>
      <c r="C34" s="115">
        <v>28736</v>
      </c>
      <c r="D34" s="115">
        <v>30296</v>
      </c>
      <c r="E34" s="115">
        <v>31731</v>
      </c>
      <c r="F34" s="115">
        <v>33440</v>
      </c>
      <c r="G34" s="115">
        <v>34301</v>
      </c>
    </row>
    <row r="35" spans="1:7" x14ac:dyDescent="0.2">
      <c r="A35" s="94" t="s">
        <v>69</v>
      </c>
      <c r="B35" s="115">
        <v>31033</v>
      </c>
      <c r="C35" s="115">
        <v>34327</v>
      </c>
      <c r="D35" s="115">
        <v>38375</v>
      </c>
      <c r="E35" s="115">
        <v>42965</v>
      </c>
      <c r="F35" s="115">
        <v>47758</v>
      </c>
      <c r="G35" s="115">
        <v>53734</v>
      </c>
    </row>
    <row r="36" spans="1:7" x14ac:dyDescent="0.2">
      <c r="A36" s="94" t="s">
        <v>70</v>
      </c>
      <c r="B36" s="115">
        <v>-1644</v>
      </c>
      <c r="C36" s="115">
        <v>-1881</v>
      </c>
      <c r="D36" s="115">
        <v>-2630</v>
      </c>
      <c r="E36" s="115">
        <v>-3266</v>
      </c>
      <c r="F36" s="115">
        <v>-1187</v>
      </c>
      <c r="G36" s="115">
        <v>-1968</v>
      </c>
    </row>
    <row r="37" spans="1:7" ht="25.5" x14ac:dyDescent="0.2">
      <c r="A37" s="122" t="s">
        <v>71</v>
      </c>
      <c r="B37" s="123">
        <f>SUM(B33:B36)</f>
        <v>56427</v>
      </c>
      <c r="C37" s="123">
        <f t="shared" ref="C37:G37" si="5">SUM(C33:C36)</f>
        <v>61182</v>
      </c>
      <c r="D37" s="123">
        <f t="shared" si="5"/>
        <v>66041</v>
      </c>
      <c r="E37" s="123">
        <f t="shared" si="5"/>
        <v>71430</v>
      </c>
      <c r="F37" s="123">
        <f t="shared" si="5"/>
        <v>80011</v>
      </c>
      <c r="G37" s="123">
        <f t="shared" si="5"/>
        <v>86067</v>
      </c>
    </row>
    <row r="38" spans="1:7" ht="38.25" x14ac:dyDescent="0.2">
      <c r="A38" s="94" t="s">
        <v>72</v>
      </c>
      <c r="B38" s="115">
        <v>-22693</v>
      </c>
      <c r="C38" s="115">
        <v>-23663</v>
      </c>
      <c r="D38" s="115">
        <v>-28656</v>
      </c>
      <c r="E38" s="115">
        <v>-31671</v>
      </c>
      <c r="F38" s="115">
        <v>-34582</v>
      </c>
      <c r="G38" s="115">
        <v>-41109</v>
      </c>
    </row>
    <row r="39" spans="1:7" s="124" customFormat="1" x14ac:dyDescent="0.2">
      <c r="A39" s="122" t="s">
        <v>73</v>
      </c>
      <c r="B39" s="123">
        <f>+B37+B38</f>
        <v>33734</v>
      </c>
      <c r="C39" s="123">
        <f t="shared" ref="C39:G39" si="6">+C37+C38</f>
        <v>37519</v>
      </c>
      <c r="D39" s="123">
        <f t="shared" si="6"/>
        <v>37385</v>
      </c>
      <c r="E39" s="123">
        <f t="shared" si="6"/>
        <v>39759</v>
      </c>
      <c r="F39" s="123">
        <f t="shared" si="6"/>
        <v>45429</v>
      </c>
      <c r="G39" s="123">
        <f t="shared" si="6"/>
        <v>44958</v>
      </c>
    </row>
    <row r="40" spans="1:7" x14ac:dyDescent="0.2">
      <c r="A40" s="94" t="s">
        <v>74</v>
      </c>
      <c r="B40" s="115">
        <v>1691</v>
      </c>
      <c r="C40" s="115">
        <v>1823</v>
      </c>
      <c r="D40" s="115">
        <v>2068</v>
      </c>
      <c r="E40" s="115">
        <v>2199</v>
      </c>
      <c r="F40" s="115">
        <v>2721</v>
      </c>
      <c r="G40" s="115">
        <v>3220</v>
      </c>
    </row>
    <row r="41" spans="1:7" x14ac:dyDescent="0.2">
      <c r="A41" s="122" t="s">
        <v>75</v>
      </c>
      <c r="B41" s="123">
        <f>+B39+B40</f>
        <v>35425</v>
      </c>
      <c r="C41" s="123">
        <f t="shared" ref="C41:G41" si="7">+C39+C40</f>
        <v>39342</v>
      </c>
      <c r="D41" s="123">
        <f t="shared" si="7"/>
        <v>39453</v>
      </c>
      <c r="E41" s="123">
        <f t="shared" si="7"/>
        <v>41958</v>
      </c>
      <c r="F41" s="123">
        <f t="shared" si="7"/>
        <v>48150</v>
      </c>
      <c r="G41" s="123">
        <f t="shared" si="7"/>
        <v>48178</v>
      </c>
    </row>
    <row r="42" spans="1:7" x14ac:dyDescent="0.2">
      <c r="A42" s="122" t="s">
        <v>76</v>
      </c>
      <c r="B42" s="125">
        <f>+SUM(B27:B31)+B41</f>
        <v>63117</v>
      </c>
      <c r="C42" s="125">
        <f t="shared" ref="C42:G42" si="8">+SUM(C27:C31)+C41</f>
        <v>69206</v>
      </c>
      <c r="D42" s="125">
        <f t="shared" si="8"/>
        <v>72124</v>
      </c>
      <c r="E42" s="125">
        <f t="shared" si="8"/>
        <v>74898</v>
      </c>
      <c r="F42" s="125">
        <f t="shared" si="8"/>
        <v>81241</v>
      </c>
      <c r="G42" s="125">
        <f t="shared" si="8"/>
        <v>84186</v>
      </c>
    </row>
    <row r="43" spans="1:7" x14ac:dyDescent="0.2">
      <c r="A43" s="67" t="s">
        <v>33</v>
      </c>
      <c r="B43" s="67"/>
      <c r="D43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7" workbookViewId="0">
      <selection activeCell="A7" sqref="A1:G1048576"/>
    </sheetView>
  </sheetViews>
  <sheetFormatPr defaultRowHeight="12.75" x14ac:dyDescent="0.2"/>
  <cols>
    <col min="1" max="1" width="36.5703125" style="53" bestFit="1" customWidth="1"/>
    <col min="2" max="4" width="12" style="53" bestFit="1" customWidth="1"/>
    <col min="5" max="7" width="12.28515625" style="53" bestFit="1" customWidth="1"/>
    <col min="8" max="16384" width="9.140625" style="53"/>
  </cols>
  <sheetData>
    <row r="1" spans="1:7" ht="25.5" x14ac:dyDescent="0.2">
      <c r="A1" s="54" t="s">
        <v>78</v>
      </c>
      <c r="B1" s="153" t="s">
        <v>1</v>
      </c>
      <c r="C1" s="153"/>
      <c r="D1" s="153"/>
      <c r="E1" s="153"/>
      <c r="F1" s="153"/>
      <c r="G1" s="153"/>
    </row>
    <row r="2" spans="1:7" x14ac:dyDescent="0.2">
      <c r="A2" s="54" t="s">
        <v>37</v>
      </c>
      <c r="B2" s="54" t="s">
        <v>35</v>
      </c>
      <c r="C2" s="54" t="s">
        <v>34</v>
      </c>
      <c r="D2" s="54" t="s">
        <v>31</v>
      </c>
      <c r="E2" s="54" t="s">
        <v>5</v>
      </c>
      <c r="F2" s="54" t="s">
        <v>4</v>
      </c>
      <c r="G2" s="54" t="s">
        <v>3</v>
      </c>
    </row>
    <row r="3" spans="1:7" x14ac:dyDescent="0.2">
      <c r="A3" s="56" t="s">
        <v>79</v>
      </c>
      <c r="B3" s="68"/>
      <c r="C3" s="68"/>
      <c r="D3" s="68" t="s">
        <v>24</v>
      </c>
      <c r="E3" s="68" t="s">
        <v>24</v>
      </c>
      <c r="F3" s="68" t="s">
        <v>24</v>
      </c>
      <c r="G3" s="68" t="s">
        <v>24</v>
      </c>
    </row>
    <row r="4" spans="1:7" x14ac:dyDescent="0.2">
      <c r="A4" s="94" t="s">
        <v>32</v>
      </c>
      <c r="B4" s="113">
        <v>3609</v>
      </c>
      <c r="C4" s="113">
        <v>4313</v>
      </c>
      <c r="D4" s="113">
        <v>5258</v>
      </c>
      <c r="E4" s="113">
        <v>6173</v>
      </c>
      <c r="F4" s="113">
        <v>6636</v>
      </c>
      <c r="G4" s="113">
        <v>8004</v>
      </c>
    </row>
    <row r="5" spans="1:7" x14ac:dyDescent="0.2">
      <c r="A5" s="94" t="s">
        <v>12</v>
      </c>
      <c r="B5" s="113">
        <v>1631</v>
      </c>
      <c r="C5" s="113">
        <v>1713</v>
      </c>
      <c r="D5" s="113">
        <v>1841</v>
      </c>
      <c r="E5" s="113">
        <v>1987</v>
      </c>
      <c r="F5" s="113">
        <v>2192</v>
      </c>
      <c r="G5" s="113">
        <v>2288</v>
      </c>
    </row>
    <row r="6" spans="1:7" ht="25.5" x14ac:dyDescent="0.2">
      <c r="A6" s="94" t="s">
        <v>80</v>
      </c>
      <c r="B6" s="113">
        <v>-342</v>
      </c>
      <c r="C6" s="113">
        <v>-118</v>
      </c>
      <c r="D6" s="113">
        <v>-75</v>
      </c>
      <c r="E6" s="113">
        <v>-198</v>
      </c>
      <c r="F6" s="113">
        <v>-325</v>
      </c>
      <c r="G6" s="113">
        <v>-299</v>
      </c>
    </row>
    <row r="7" spans="1:7" x14ac:dyDescent="0.2">
      <c r="A7" s="94" t="s">
        <v>43</v>
      </c>
      <c r="B7" s="113">
        <v>323</v>
      </c>
      <c r="C7" s="113">
        <v>133</v>
      </c>
      <c r="D7" s="113">
        <v>127</v>
      </c>
      <c r="E7" s="113">
        <v>472</v>
      </c>
      <c r="F7" s="113">
        <v>92</v>
      </c>
      <c r="G7" s="113">
        <v>517</v>
      </c>
    </row>
    <row r="8" spans="1:7" x14ac:dyDescent="0.2">
      <c r="A8" s="94" t="s">
        <v>17</v>
      </c>
      <c r="B8" s="113">
        <v>-577</v>
      </c>
      <c r="C8" s="113">
        <v>-440</v>
      </c>
      <c r="D8" s="113">
        <v>-585</v>
      </c>
      <c r="E8" s="113">
        <v>-627</v>
      </c>
      <c r="F8" s="113">
        <v>-688</v>
      </c>
      <c r="G8" s="113">
        <v>-854</v>
      </c>
    </row>
    <row r="9" spans="1:7" ht="25.5" x14ac:dyDescent="0.2">
      <c r="A9" s="94" t="s">
        <v>81</v>
      </c>
      <c r="B9" s="113">
        <v>505</v>
      </c>
      <c r="C9" s="113">
        <v>473</v>
      </c>
      <c r="D9" s="113">
        <v>608</v>
      </c>
      <c r="E9" s="113">
        <v>663</v>
      </c>
      <c r="F9" s="113">
        <v>694</v>
      </c>
      <c r="G9" s="113">
        <v>718</v>
      </c>
    </row>
    <row r="10" spans="1:7" ht="25.5" x14ac:dyDescent="0.2">
      <c r="A10" s="94" t="s">
        <v>82</v>
      </c>
      <c r="B10" s="113">
        <v>-43</v>
      </c>
      <c r="C10" s="113">
        <v>238</v>
      </c>
      <c r="D10" s="113">
        <v>332</v>
      </c>
      <c r="E10" s="113">
        <v>-52</v>
      </c>
      <c r="F10" s="113">
        <v>-49</v>
      </c>
      <c r="G10" s="113">
        <v>-964</v>
      </c>
    </row>
    <row r="11" spans="1:7" x14ac:dyDescent="0.2">
      <c r="A11" s="94" t="s">
        <v>83</v>
      </c>
      <c r="B11" s="113">
        <v>361</v>
      </c>
      <c r="C11" s="113">
        <v>391</v>
      </c>
      <c r="D11" s="113">
        <v>423</v>
      </c>
      <c r="E11" s="113">
        <v>408</v>
      </c>
      <c r="F11" s="113">
        <v>402</v>
      </c>
      <c r="G11" s="113">
        <v>408</v>
      </c>
    </row>
    <row r="12" spans="1:7" x14ac:dyDescent="0.2">
      <c r="A12" s="94" t="s">
        <v>107</v>
      </c>
      <c r="B12" s="113">
        <v>279</v>
      </c>
      <c r="C12" s="113">
        <v>132</v>
      </c>
      <c r="D12" s="113"/>
      <c r="E12" s="113"/>
      <c r="F12" s="113"/>
      <c r="G12" s="113"/>
    </row>
    <row r="13" spans="1:7" ht="25.5" x14ac:dyDescent="0.2">
      <c r="A13" s="94" t="s">
        <v>84</v>
      </c>
      <c r="B13" s="113">
        <v>29</v>
      </c>
      <c r="C13" s="113">
        <v>9</v>
      </c>
      <c r="D13" s="113">
        <v>204</v>
      </c>
      <c r="E13" s="113">
        <v>231</v>
      </c>
      <c r="F13" s="113">
        <v>395</v>
      </c>
      <c r="G13" s="113">
        <v>234</v>
      </c>
    </row>
    <row r="14" spans="1:7" x14ac:dyDescent="0.2">
      <c r="A14" s="56" t="s">
        <v>85</v>
      </c>
      <c r="B14" s="73"/>
      <c r="C14" s="73"/>
      <c r="D14" s="73" t="s">
        <v>24</v>
      </c>
      <c r="E14" s="73" t="s">
        <v>24</v>
      </c>
      <c r="F14" s="73" t="s">
        <v>24</v>
      </c>
      <c r="G14" s="73" t="s">
        <v>24</v>
      </c>
    </row>
    <row r="15" spans="1:7" x14ac:dyDescent="0.2">
      <c r="A15" s="94" t="s">
        <v>40</v>
      </c>
      <c r="B15" s="113">
        <v>468</v>
      </c>
      <c r="C15" s="113">
        <v>-686</v>
      </c>
      <c r="D15" s="113">
        <v>-518</v>
      </c>
      <c r="E15" s="113">
        <v>-108</v>
      </c>
      <c r="F15" s="113">
        <v>-374</v>
      </c>
      <c r="G15" s="113">
        <v>-480</v>
      </c>
    </row>
    <row r="16" spans="1:7" x14ac:dyDescent="0.2">
      <c r="A16" s="94" t="s">
        <v>41</v>
      </c>
      <c r="B16" s="113">
        <v>-117</v>
      </c>
      <c r="C16" s="113">
        <v>-127</v>
      </c>
      <c r="D16" s="113">
        <v>-199</v>
      </c>
      <c r="E16" s="113">
        <v>18</v>
      </c>
      <c r="F16" s="113">
        <v>51</v>
      </c>
      <c r="G16" s="113">
        <v>-81</v>
      </c>
    </row>
    <row r="17" spans="1:7" x14ac:dyDescent="0.2">
      <c r="A17" s="94" t="s">
        <v>55</v>
      </c>
      <c r="B17" s="113">
        <v>-565</v>
      </c>
      <c r="C17" s="113">
        <v>42</v>
      </c>
      <c r="D17" s="113">
        <v>-189</v>
      </c>
      <c r="E17" s="113">
        <v>-151</v>
      </c>
      <c r="F17" s="113">
        <v>-30</v>
      </c>
      <c r="G17" s="113">
        <v>-151</v>
      </c>
    </row>
    <row r="18" spans="1:7" ht="25.5" x14ac:dyDescent="0.2">
      <c r="A18" s="94" t="s">
        <v>58</v>
      </c>
      <c r="B18" s="113">
        <v>-250</v>
      </c>
      <c r="C18" s="113">
        <v>649</v>
      </c>
      <c r="D18" s="113">
        <v>-367</v>
      </c>
      <c r="E18" s="113">
        <v>-608</v>
      </c>
      <c r="F18" s="113">
        <v>367</v>
      </c>
      <c r="G18" s="113">
        <v>536</v>
      </c>
    </row>
    <row r="19" spans="1:7" x14ac:dyDescent="0.2">
      <c r="A19" s="94" t="s">
        <v>19</v>
      </c>
      <c r="B19" s="113">
        <v>8</v>
      </c>
      <c r="C19" s="113">
        <v>-144</v>
      </c>
      <c r="D19" s="113">
        <v>134</v>
      </c>
      <c r="E19" s="113">
        <v>-242</v>
      </c>
      <c r="F19" s="113">
        <v>89</v>
      </c>
      <c r="G19" s="113">
        <v>-96</v>
      </c>
    </row>
    <row r="20" spans="1:7" x14ac:dyDescent="0.2">
      <c r="A20" s="67" t="s">
        <v>86</v>
      </c>
      <c r="B20" s="73">
        <f>SUM(B4:B19)</f>
        <v>5319</v>
      </c>
      <c r="C20" s="73">
        <f t="shared" ref="C20:G20" si="0">SUM(C4:C19)</f>
        <v>6578</v>
      </c>
      <c r="D20" s="73">
        <f t="shared" si="0"/>
        <v>6994</v>
      </c>
      <c r="E20" s="73">
        <f>SUM(E4:E19)</f>
        <v>7966</v>
      </c>
      <c r="F20" s="73">
        <f t="shared" si="0"/>
        <v>9452</v>
      </c>
      <c r="G20" s="73">
        <f t="shared" si="0"/>
        <v>9780</v>
      </c>
    </row>
    <row r="21" spans="1:7" x14ac:dyDescent="0.2">
      <c r="A21" s="56" t="s">
        <v>87</v>
      </c>
      <c r="B21" s="73"/>
      <c r="C21" s="73"/>
      <c r="D21" s="73" t="s">
        <v>24</v>
      </c>
      <c r="E21" s="73" t="s">
        <v>24</v>
      </c>
      <c r="F21" s="73" t="s">
        <v>24</v>
      </c>
      <c r="G21" s="73" t="s">
        <v>24</v>
      </c>
    </row>
    <row r="22" spans="1:7" ht="25.5" x14ac:dyDescent="0.2">
      <c r="A22" s="94" t="s">
        <v>88</v>
      </c>
      <c r="B22" s="113">
        <v>-1753</v>
      </c>
      <c r="C22" s="113">
        <v>-2110</v>
      </c>
      <c r="D22" s="113">
        <v>-3559</v>
      </c>
      <c r="E22" s="113">
        <v>-3784</v>
      </c>
      <c r="F22" s="113">
        <v>-2796</v>
      </c>
      <c r="G22" s="113">
        <v>-3311</v>
      </c>
    </row>
    <row r="23" spans="1:7" ht="25.5" x14ac:dyDescent="0.2">
      <c r="A23" s="94" t="s">
        <v>89</v>
      </c>
      <c r="B23" s="113">
        <v>185</v>
      </c>
      <c r="C23" s="113">
        <v>170</v>
      </c>
      <c r="D23" s="113">
        <v>564</v>
      </c>
      <c r="E23" s="113">
        <v>110</v>
      </c>
      <c r="F23" s="113">
        <v>479</v>
      </c>
      <c r="G23" s="113">
        <v>395</v>
      </c>
    </row>
    <row r="24" spans="1:7" x14ac:dyDescent="0.2">
      <c r="A24" s="94" t="s">
        <v>90</v>
      </c>
      <c r="B24" s="113">
        <v>-176</v>
      </c>
      <c r="C24" s="113">
        <v>-2493</v>
      </c>
      <c r="D24" s="113">
        <v>-184</v>
      </c>
      <c r="E24" s="113">
        <v>-1088</v>
      </c>
      <c r="F24" s="113">
        <v>-2443</v>
      </c>
      <c r="G24" s="113">
        <v>-402</v>
      </c>
    </row>
    <row r="25" spans="1:7" x14ac:dyDescent="0.2">
      <c r="A25" s="94" t="s">
        <v>91</v>
      </c>
      <c r="B25" s="113">
        <v>-11</v>
      </c>
      <c r="C25" s="113">
        <v>-90</v>
      </c>
      <c r="D25" s="113">
        <v>-107</v>
      </c>
      <c r="E25" s="113">
        <v>3</v>
      </c>
      <c r="F25" s="113">
        <v>84</v>
      </c>
      <c r="G25" s="113">
        <v>-27</v>
      </c>
    </row>
    <row r="26" spans="1:7" x14ac:dyDescent="0.2">
      <c r="A26" s="67" t="s">
        <v>92</v>
      </c>
      <c r="B26" s="73">
        <f>+SUM(B22:B25)</f>
        <v>-1755</v>
      </c>
      <c r="C26" s="73">
        <f t="shared" ref="C26:G26" si="1">+SUM(C22:C25)</f>
        <v>-4523</v>
      </c>
      <c r="D26" s="73">
        <f t="shared" si="1"/>
        <v>-3286</v>
      </c>
      <c r="E26" s="73">
        <f>+SUM(E22:E25)</f>
        <v>-4759</v>
      </c>
      <c r="F26" s="73">
        <f t="shared" si="1"/>
        <v>-4676</v>
      </c>
      <c r="G26" s="73">
        <f t="shared" si="1"/>
        <v>-3345</v>
      </c>
    </row>
    <row r="27" spans="1:7" x14ac:dyDescent="0.2">
      <c r="A27" s="56" t="s">
        <v>93</v>
      </c>
      <c r="B27" s="73"/>
      <c r="C27" s="73"/>
      <c r="D27" s="73" t="s">
        <v>24</v>
      </c>
      <c r="E27" s="73" t="s">
        <v>24</v>
      </c>
      <c r="F27" s="73" t="s">
        <v>24</v>
      </c>
      <c r="G27" s="73" t="s">
        <v>24</v>
      </c>
    </row>
    <row r="28" spans="1:7" ht="25.5" x14ac:dyDescent="0.2">
      <c r="A28" s="94" t="s">
        <v>94</v>
      </c>
      <c r="B28" s="113">
        <v>-1985</v>
      </c>
      <c r="C28" s="113">
        <v>1190</v>
      </c>
      <c r="D28" s="113">
        <v>393</v>
      </c>
      <c r="E28" s="113">
        <v>467</v>
      </c>
      <c r="F28" s="113">
        <v>-2050</v>
      </c>
      <c r="G28" s="113">
        <v>50</v>
      </c>
    </row>
    <row r="29" spans="1:7" x14ac:dyDescent="0.2">
      <c r="A29" s="94" t="s">
        <v>62</v>
      </c>
      <c r="B29" s="113">
        <v>1750</v>
      </c>
      <c r="C29" s="113"/>
      <c r="D29" s="113">
        <v>2350</v>
      </c>
      <c r="E29" s="113">
        <v>3779</v>
      </c>
      <c r="F29" s="113">
        <v>3931</v>
      </c>
      <c r="G29" s="113">
        <v>2231</v>
      </c>
    </row>
    <row r="30" spans="1:7" x14ac:dyDescent="0.2">
      <c r="A30" s="94" t="s">
        <v>95</v>
      </c>
      <c r="B30" s="113">
        <v>-1617</v>
      </c>
      <c r="C30" s="113">
        <v>-1371</v>
      </c>
      <c r="D30" s="113">
        <v>-1096</v>
      </c>
      <c r="E30" s="113">
        <v>-3822</v>
      </c>
      <c r="F30" s="113">
        <v>-1502</v>
      </c>
      <c r="G30" s="113">
        <v>-1648</v>
      </c>
    </row>
    <row r="31" spans="1:7" x14ac:dyDescent="0.2">
      <c r="A31" s="94" t="s">
        <v>96</v>
      </c>
      <c r="B31" s="113">
        <v>-648</v>
      </c>
      <c r="C31" s="113">
        <v>-653</v>
      </c>
      <c r="D31" s="113">
        <v>-756</v>
      </c>
      <c r="E31" s="113">
        <v>-1076</v>
      </c>
      <c r="F31" s="113">
        <v>-1324</v>
      </c>
      <c r="G31" s="113">
        <v>-1508</v>
      </c>
    </row>
    <row r="32" spans="1:7" x14ac:dyDescent="0.2">
      <c r="A32" s="94" t="s">
        <v>97</v>
      </c>
      <c r="B32" s="113">
        <v>-138</v>
      </c>
      <c r="C32" s="113">
        <v>-2669</v>
      </c>
      <c r="D32" s="113">
        <v>-4993</v>
      </c>
      <c r="E32" s="113">
        <v>-3015</v>
      </c>
      <c r="F32" s="113">
        <v>-4087</v>
      </c>
      <c r="G32" s="113">
        <v>-6527</v>
      </c>
    </row>
    <row r="33" spans="1:7" x14ac:dyDescent="0.2">
      <c r="A33" s="94" t="s">
        <v>98</v>
      </c>
      <c r="B33" s="113">
        <v>119</v>
      </c>
      <c r="C33" s="113">
        <v>1133</v>
      </c>
      <c r="D33" s="113">
        <v>1128</v>
      </c>
      <c r="E33" s="113">
        <v>1008</v>
      </c>
      <c r="F33" s="113">
        <v>587</v>
      </c>
      <c r="G33" s="113">
        <v>404</v>
      </c>
    </row>
    <row r="34" spans="1:7" x14ac:dyDescent="0.2">
      <c r="A34" s="94" t="s">
        <v>91</v>
      </c>
      <c r="B34" s="113">
        <v>-592</v>
      </c>
      <c r="C34" s="113">
        <v>-293</v>
      </c>
      <c r="D34" s="113">
        <v>-259</v>
      </c>
      <c r="E34" s="113">
        <v>-326</v>
      </c>
      <c r="F34" s="113">
        <v>231</v>
      </c>
      <c r="G34" s="113">
        <v>288</v>
      </c>
    </row>
    <row r="35" spans="1:7" x14ac:dyDescent="0.2">
      <c r="A35" s="67" t="s">
        <v>99</v>
      </c>
      <c r="B35" s="73">
        <f>SUM(B28:B34)</f>
        <v>-3111</v>
      </c>
      <c r="C35" s="73">
        <f t="shared" ref="C35:G35" si="2">SUM(C28:C34)</f>
        <v>-2663</v>
      </c>
      <c r="D35" s="73">
        <f t="shared" si="2"/>
        <v>-3233</v>
      </c>
      <c r="E35" s="73">
        <f>SUM(E28:E34)</f>
        <v>-2985</v>
      </c>
      <c r="F35" s="73">
        <f t="shared" si="2"/>
        <v>-4214</v>
      </c>
      <c r="G35" s="73">
        <f t="shared" si="2"/>
        <v>-6710</v>
      </c>
    </row>
    <row r="36" spans="1:7" ht="25.5" x14ac:dyDescent="0.2">
      <c r="A36" s="94" t="s">
        <v>100</v>
      </c>
      <c r="B36" s="113">
        <v>-37</v>
      </c>
      <c r="C36" s="113">
        <v>-87</v>
      </c>
      <c r="D36" s="113">
        <v>-12</v>
      </c>
      <c r="E36" s="113">
        <v>-20</v>
      </c>
      <c r="F36" s="113">
        <v>-18</v>
      </c>
      <c r="G36" s="113">
        <v>-235</v>
      </c>
    </row>
    <row r="37" spans="1:7" ht="25.5" x14ac:dyDescent="0.2">
      <c r="A37" s="67" t="s">
        <v>101</v>
      </c>
      <c r="B37" s="73">
        <f>+B20+B26+B35+B36</f>
        <v>416</v>
      </c>
      <c r="C37" s="73">
        <f t="shared" ref="C37:G37" si="3">+C20+C26+C35+C36</f>
        <v>-695</v>
      </c>
      <c r="D37" s="73">
        <f t="shared" si="3"/>
        <v>463</v>
      </c>
      <c r="E37" s="73">
        <f>+E20+E26+E35+E36</f>
        <v>202</v>
      </c>
      <c r="F37" s="73">
        <f t="shared" si="3"/>
        <v>544</v>
      </c>
      <c r="G37" s="73">
        <f t="shared" si="3"/>
        <v>-510</v>
      </c>
    </row>
    <row r="38" spans="1:7" x14ac:dyDescent="0.2">
      <c r="A38" s="94" t="s">
        <v>102</v>
      </c>
      <c r="B38" s="113">
        <v>3001</v>
      </c>
      <c r="C38" s="113">
        <v>3417</v>
      </c>
      <c r="D38" s="113">
        <v>2722</v>
      </c>
      <c r="E38" s="113">
        <v>3185</v>
      </c>
      <c r="F38" s="113">
        <v>3387</v>
      </c>
      <c r="G38" s="113">
        <v>3931</v>
      </c>
    </row>
    <row r="39" spans="1:7" x14ac:dyDescent="0.2">
      <c r="A39" s="67" t="s">
        <v>103</v>
      </c>
      <c r="B39" s="73">
        <f>+SUM(B37:B38)</f>
        <v>3417</v>
      </c>
      <c r="C39" s="73">
        <f t="shared" ref="C39:G39" si="4">+SUM(C37:C38)</f>
        <v>2722</v>
      </c>
      <c r="D39" s="73">
        <f t="shared" si="4"/>
        <v>3185</v>
      </c>
      <c r="E39" s="73">
        <f>+SUM(E37:E38)</f>
        <v>3387</v>
      </c>
      <c r="F39" s="73">
        <f t="shared" si="4"/>
        <v>3931</v>
      </c>
      <c r="G39" s="73">
        <f t="shared" si="4"/>
        <v>3421</v>
      </c>
    </row>
    <row r="40" spans="1:7" ht="25.5" x14ac:dyDescent="0.2">
      <c r="A40" s="56" t="s">
        <v>104</v>
      </c>
      <c r="B40" s="73"/>
      <c r="C40" s="73"/>
      <c r="D40" s="73" t="s">
        <v>24</v>
      </c>
      <c r="E40" s="73" t="s">
        <v>24</v>
      </c>
      <c r="F40" s="73" t="s">
        <v>24</v>
      </c>
      <c r="G40" s="73" t="s">
        <v>24</v>
      </c>
    </row>
    <row r="41" spans="1:7" x14ac:dyDescent="0.2">
      <c r="A41" s="94" t="s">
        <v>105</v>
      </c>
      <c r="B41" s="113">
        <v>485</v>
      </c>
      <c r="C41" s="113">
        <v>393</v>
      </c>
      <c r="D41" s="113">
        <v>377</v>
      </c>
      <c r="E41" s="113">
        <v>718</v>
      </c>
      <c r="F41" s="113">
        <v>316</v>
      </c>
      <c r="G41" s="113">
        <v>310</v>
      </c>
    </row>
    <row r="42" spans="1:7" x14ac:dyDescent="0.2">
      <c r="A42" s="94" t="s">
        <v>106</v>
      </c>
      <c r="B42" s="113">
        <v>1609</v>
      </c>
      <c r="C42" s="113">
        <v>2170</v>
      </c>
      <c r="D42" s="113">
        <v>2341</v>
      </c>
      <c r="E42" s="113">
        <v>2630</v>
      </c>
      <c r="F42" s="113">
        <v>2531</v>
      </c>
      <c r="G42" s="113">
        <v>3483</v>
      </c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zoomScaleNormal="100" workbookViewId="0">
      <selection sqref="A1:A1048576"/>
    </sheetView>
  </sheetViews>
  <sheetFormatPr defaultRowHeight="15" x14ac:dyDescent="0.25"/>
  <cols>
    <col min="1" max="1" width="36.5703125" bestFit="1" customWidth="1"/>
    <col min="2" max="7" width="14.5703125" customWidth="1"/>
    <col min="10" max="10" width="36.5703125" bestFit="1" customWidth="1"/>
    <col min="11" max="16" width="14.42578125" customWidth="1"/>
    <col min="19" max="19" width="36.5703125" bestFit="1" customWidth="1"/>
    <col min="20" max="22" width="12" bestFit="1" customWidth="1"/>
    <col min="23" max="25" width="12.28515625" bestFit="1" customWidth="1"/>
  </cols>
  <sheetData>
    <row r="1" spans="1:25" ht="30" x14ac:dyDescent="0.25">
      <c r="A1" s="1" t="s">
        <v>0</v>
      </c>
      <c r="B1" s="154" t="s">
        <v>1</v>
      </c>
      <c r="C1" s="154"/>
      <c r="D1" s="154"/>
      <c r="E1" s="154"/>
      <c r="F1" s="154"/>
      <c r="G1" s="154"/>
      <c r="J1" s="15" t="s">
        <v>36</v>
      </c>
      <c r="K1" s="15" t="s">
        <v>35</v>
      </c>
      <c r="L1" s="15" t="s">
        <v>34</v>
      </c>
      <c r="M1" s="15" t="s">
        <v>31</v>
      </c>
      <c r="N1" s="15" t="s">
        <v>5</v>
      </c>
      <c r="O1" s="5" t="s">
        <v>4</v>
      </c>
      <c r="P1" s="5" t="s">
        <v>3</v>
      </c>
      <c r="S1" s="15" t="s">
        <v>78</v>
      </c>
      <c r="T1" s="154" t="s">
        <v>1</v>
      </c>
      <c r="U1" s="154"/>
      <c r="V1" s="154"/>
      <c r="W1" s="154"/>
      <c r="X1" s="154"/>
      <c r="Y1" s="154"/>
    </row>
    <row r="2" spans="1:25" ht="30" x14ac:dyDescent="0.25">
      <c r="A2" s="1" t="s">
        <v>2</v>
      </c>
      <c r="B2" s="1" t="s">
        <v>35</v>
      </c>
      <c r="C2" s="1" t="s">
        <v>34</v>
      </c>
      <c r="D2" s="1" t="s">
        <v>31</v>
      </c>
      <c r="E2" s="1" t="s">
        <v>5</v>
      </c>
      <c r="F2" s="1" t="s">
        <v>4</v>
      </c>
      <c r="G2" s="1" t="s">
        <v>3</v>
      </c>
      <c r="J2" s="15" t="s">
        <v>37</v>
      </c>
      <c r="K2" s="15"/>
      <c r="L2" s="15"/>
      <c r="M2" s="15"/>
      <c r="P2" s="5"/>
      <c r="S2" s="15" t="s">
        <v>37</v>
      </c>
      <c r="T2" s="15" t="s">
        <v>35</v>
      </c>
      <c r="U2" s="15" t="s">
        <v>34</v>
      </c>
      <c r="V2" s="15" t="s">
        <v>31</v>
      </c>
      <c r="W2" s="15" t="s">
        <v>5</v>
      </c>
      <c r="X2" s="15" t="s">
        <v>4</v>
      </c>
      <c r="Y2" s="15" t="s">
        <v>3</v>
      </c>
    </row>
    <row r="3" spans="1:25" x14ac:dyDescent="0.25">
      <c r="A3" s="8" t="s">
        <v>6</v>
      </c>
      <c r="B3" s="9"/>
      <c r="C3" s="9"/>
      <c r="D3" s="9"/>
      <c r="E3" s="10">
        <v>34625</v>
      </c>
      <c r="F3" s="10">
        <v>37280</v>
      </c>
      <c r="G3" s="10">
        <v>40246</v>
      </c>
      <c r="J3" s="4" t="s">
        <v>38</v>
      </c>
      <c r="K3" s="3"/>
      <c r="L3" s="3"/>
      <c r="M3" s="3"/>
      <c r="N3" s="3" t="s">
        <v>24</v>
      </c>
      <c r="O3" s="3" t="s">
        <v>24</v>
      </c>
      <c r="P3" s="3" t="s">
        <v>24</v>
      </c>
      <c r="S3" s="4" t="s">
        <v>79</v>
      </c>
      <c r="T3" s="3"/>
      <c r="U3" s="3"/>
      <c r="V3" s="3" t="s">
        <v>24</v>
      </c>
      <c r="W3" s="3" t="s">
        <v>24</v>
      </c>
      <c r="X3" s="3" t="s">
        <v>24</v>
      </c>
      <c r="Y3" s="3" t="s">
        <v>24</v>
      </c>
    </row>
    <row r="4" spans="1:25" x14ac:dyDescent="0.25">
      <c r="A4" s="8" t="s">
        <v>7</v>
      </c>
      <c r="B4" s="9"/>
      <c r="C4" s="9"/>
      <c r="D4" s="9"/>
      <c r="E4" s="10">
        <v>7653</v>
      </c>
      <c r="F4" s="10">
        <v>7761</v>
      </c>
      <c r="G4" s="10">
        <v>8567</v>
      </c>
      <c r="J4" s="8" t="s">
        <v>39</v>
      </c>
      <c r="K4" s="10">
        <v>3417</v>
      </c>
      <c r="L4" s="10">
        <v>2722</v>
      </c>
      <c r="M4" s="10">
        <v>3185</v>
      </c>
      <c r="N4" s="10">
        <v>3387</v>
      </c>
      <c r="O4" s="10">
        <v>3931</v>
      </c>
      <c r="P4" s="10">
        <v>3421</v>
      </c>
      <c r="S4" s="8" t="s">
        <v>32</v>
      </c>
      <c r="T4" s="11">
        <v>3609</v>
      </c>
      <c r="U4" s="11">
        <v>4313</v>
      </c>
      <c r="V4" s="11">
        <v>5258</v>
      </c>
      <c r="W4" s="11">
        <v>6173</v>
      </c>
      <c r="X4" s="11">
        <v>6636</v>
      </c>
      <c r="Y4" s="11">
        <v>8004</v>
      </c>
    </row>
    <row r="5" spans="1:25" x14ac:dyDescent="0.25">
      <c r="A5" s="6" t="s">
        <v>8</v>
      </c>
      <c r="B5" s="10">
        <v>36149</v>
      </c>
      <c r="C5" s="10">
        <v>38063</v>
      </c>
      <c r="D5" s="11">
        <v>40893</v>
      </c>
      <c r="E5" s="7">
        <f>E3+E4</f>
        <v>42278</v>
      </c>
      <c r="F5" s="7">
        <v>45041</v>
      </c>
      <c r="G5" s="7">
        <v>48813</v>
      </c>
      <c r="J5" s="8" t="s">
        <v>40</v>
      </c>
      <c r="K5" s="10">
        <v>4854</v>
      </c>
      <c r="L5" s="10">
        <v>5784</v>
      </c>
      <c r="M5" s="10">
        <v>6182</v>
      </c>
      <c r="N5" s="10">
        <v>6540</v>
      </c>
      <c r="O5" s="10">
        <v>6967</v>
      </c>
      <c r="P5" s="10">
        <v>7822</v>
      </c>
      <c r="S5" s="8" t="s">
        <v>12</v>
      </c>
      <c r="T5" s="11">
        <v>1631</v>
      </c>
      <c r="U5" s="11">
        <v>1713</v>
      </c>
      <c r="V5" s="11">
        <v>1841</v>
      </c>
      <c r="W5" s="11">
        <v>1987</v>
      </c>
      <c r="X5" s="11">
        <v>2192</v>
      </c>
      <c r="Y5" s="11">
        <v>2288</v>
      </c>
    </row>
    <row r="6" spans="1:25" ht="30" x14ac:dyDescent="0.25">
      <c r="A6" s="8" t="s">
        <v>9</v>
      </c>
      <c r="B6" s="10"/>
      <c r="C6" s="10"/>
      <c r="D6" s="11"/>
      <c r="E6" s="10">
        <v>-18625</v>
      </c>
      <c r="F6" s="10">
        <v>-20090</v>
      </c>
      <c r="G6" s="10">
        <v>-21356</v>
      </c>
      <c r="J6" s="8" t="s">
        <v>41</v>
      </c>
      <c r="K6" s="10">
        <v>1271</v>
      </c>
      <c r="L6" s="10">
        <v>1442</v>
      </c>
      <c r="M6" s="10">
        <v>1595</v>
      </c>
      <c r="N6" s="10">
        <v>1537</v>
      </c>
      <c r="O6" s="10">
        <v>1487</v>
      </c>
      <c r="P6" s="10">
        <v>1574</v>
      </c>
      <c r="S6" s="8" t="s">
        <v>80</v>
      </c>
      <c r="T6" s="11">
        <v>-342</v>
      </c>
      <c r="U6" s="11">
        <v>-118</v>
      </c>
      <c r="V6" s="11">
        <v>-75</v>
      </c>
      <c r="W6" s="11">
        <v>-198</v>
      </c>
      <c r="X6" s="11">
        <v>-325</v>
      </c>
      <c r="Y6" s="11">
        <v>-299</v>
      </c>
    </row>
    <row r="7" spans="1:25" ht="30" x14ac:dyDescent="0.25">
      <c r="A7" s="8" t="s">
        <v>10</v>
      </c>
      <c r="B7" s="10"/>
      <c r="C7" s="10"/>
      <c r="D7" s="11"/>
      <c r="E7" s="10">
        <v>-4843</v>
      </c>
      <c r="F7" s="10">
        <v>-4944</v>
      </c>
      <c r="G7" s="10">
        <v>-5064</v>
      </c>
      <c r="J7" s="8" t="s">
        <v>42</v>
      </c>
      <c r="K7" s="10">
        <v>631</v>
      </c>
      <c r="L7" s="10">
        <v>678</v>
      </c>
      <c r="M7" s="10">
        <v>674</v>
      </c>
      <c r="N7" s="10">
        <v>676</v>
      </c>
      <c r="O7" s="10">
        <v>634</v>
      </c>
      <c r="P7" s="10">
        <v>1061</v>
      </c>
      <c r="S7" s="8" t="s">
        <v>43</v>
      </c>
      <c r="T7" s="11">
        <v>323</v>
      </c>
      <c r="U7" s="11">
        <v>133</v>
      </c>
      <c r="V7" s="11">
        <v>127</v>
      </c>
      <c r="W7" s="11">
        <v>472</v>
      </c>
      <c r="X7" s="11">
        <v>92</v>
      </c>
      <c r="Y7" s="11">
        <v>517</v>
      </c>
    </row>
    <row r="8" spans="1:25" ht="30" x14ac:dyDescent="0.25">
      <c r="A8" s="8" t="s">
        <v>11</v>
      </c>
      <c r="B8" s="10"/>
      <c r="C8" s="10"/>
      <c r="D8" s="11"/>
      <c r="E8" s="10">
        <v>-7960</v>
      </c>
      <c r="F8" s="10">
        <v>-8365</v>
      </c>
      <c r="G8" s="10">
        <v>-8565</v>
      </c>
      <c r="J8" s="8" t="s">
        <v>43</v>
      </c>
      <c r="K8" s="10">
        <v>1140</v>
      </c>
      <c r="L8" s="10">
        <v>1018</v>
      </c>
      <c r="M8" s="10">
        <v>1487</v>
      </c>
      <c r="N8" s="10">
        <v>765</v>
      </c>
      <c r="O8" s="10">
        <v>485</v>
      </c>
      <c r="P8" s="10">
        <v>497</v>
      </c>
      <c r="S8" s="8" t="s">
        <v>17</v>
      </c>
      <c r="T8" s="11">
        <v>-577</v>
      </c>
      <c r="U8" s="11">
        <v>-440</v>
      </c>
      <c r="V8" s="11">
        <v>-585</v>
      </c>
      <c r="W8" s="11">
        <v>-627</v>
      </c>
      <c r="X8" s="11">
        <v>-688</v>
      </c>
      <c r="Y8" s="11">
        <v>-854</v>
      </c>
    </row>
    <row r="9" spans="1:25" ht="30" x14ac:dyDescent="0.25">
      <c r="A9" s="8" t="s">
        <v>12</v>
      </c>
      <c r="B9" s="10"/>
      <c r="C9" s="10"/>
      <c r="D9" s="11"/>
      <c r="E9" s="10">
        <v>-1987</v>
      </c>
      <c r="F9" s="10">
        <v>-2192</v>
      </c>
      <c r="G9" s="10">
        <v>-2288</v>
      </c>
      <c r="J9" s="8" t="s">
        <v>44</v>
      </c>
      <c r="K9" s="10">
        <v>576</v>
      </c>
      <c r="L9" s="10">
        <v>581</v>
      </c>
      <c r="M9" s="10">
        <v>634</v>
      </c>
      <c r="N9" s="10">
        <v>804</v>
      </c>
      <c r="O9" s="10">
        <v>605</v>
      </c>
      <c r="P9" s="10">
        <v>801</v>
      </c>
      <c r="S9" s="8" t="s">
        <v>81</v>
      </c>
      <c r="T9" s="11">
        <v>505</v>
      </c>
      <c r="U9" s="11">
        <v>473</v>
      </c>
      <c r="V9" s="11">
        <v>608</v>
      </c>
      <c r="W9" s="11">
        <v>663</v>
      </c>
      <c r="X9" s="11">
        <v>694</v>
      </c>
      <c r="Y9" s="11">
        <v>718</v>
      </c>
    </row>
    <row r="10" spans="1:25" ht="30" x14ac:dyDescent="0.25">
      <c r="A10" s="6" t="s">
        <v>13</v>
      </c>
      <c r="B10" s="10">
        <v>-30452</v>
      </c>
      <c r="C10" s="10">
        <v>-31337</v>
      </c>
      <c r="D10" s="11">
        <v>-33112</v>
      </c>
      <c r="E10" s="7">
        <f>SUM(E6:E9)</f>
        <v>-33415</v>
      </c>
      <c r="F10" s="7">
        <f>SUM(F6:F9)</f>
        <v>-35591</v>
      </c>
      <c r="G10" s="7">
        <f>SUM(G6:G9)</f>
        <v>-37273</v>
      </c>
      <c r="J10" s="6" t="s">
        <v>45</v>
      </c>
      <c r="K10" s="7">
        <f>SUM(K4:K9)</f>
        <v>11889</v>
      </c>
      <c r="L10" s="7">
        <f t="shared" ref="L10:P10" si="0">SUM(L4:L9)</f>
        <v>12225</v>
      </c>
      <c r="M10" s="7">
        <f t="shared" si="0"/>
        <v>13757</v>
      </c>
      <c r="N10" s="7">
        <f t="shared" si="0"/>
        <v>13709</v>
      </c>
      <c r="O10" s="7">
        <f t="shared" si="0"/>
        <v>14109</v>
      </c>
      <c r="P10" s="7">
        <f t="shared" si="0"/>
        <v>15176</v>
      </c>
      <c r="S10" s="8" t="s">
        <v>82</v>
      </c>
      <c r="T10" s="11">
        <v>-43</v>
      </c>
      <c r="U10" s="11">
        <v>238</v>
      </c>
      <c r="V10" s="11">
        <v>332</v>
      </c>
      <c r="W10" s="11">
        <v>-52</v>
      </c>
      <c r="X10" s="11">
        <v>-49</v>
      </c>
      <c r="Y10" s="11">
        <v>-964</v>
      </c>
    </row>
    <row r="11" spans="1:25" x14ac:dyDescent="0.25">
      <c r="A11" s="6" t="s">
        <v>119</v>
      </c>
      <c r="B11" s="7">
        <f>B5+B10</f>
        <v>5697</v>
      </c>
      <c r="C11" s="7">
        <f t="shared" ref="C11:G11" si="1">C5+C10</f>
        <v>6726</v>
      </c>
      <c r="D11" s="7">
        <f t="shared" si="1"/>
        <v>7781</v>
      </c>
      <c r="E11" s="7">
        <f t="shared" si="1"/>
        <v>8863</v>
      </c>
      <c r="F11" s="7">
        <f t="shared" si="1"/>
        <v>9450</v>
      </c>
      <c r="G11" s="7">
        <f t="shared" si="1"/>
        <v>11540</v>
      </c>
      <c r="J11" s="8" t="s">
        <v>46</v>
      </c>
      <c r="K11" s="10">
        <v>5125</v>
      </c>
      <c r="L11" s="10">
        <v>4773</v>
      </c>
      <c r="M11" s="10">
        <v>4357</v>
      </c>
      <c r="N11" s="10">
        <v>4541</v>
      </c>
      <c r="O11" s="10">
        <v>4783</v>
      </c>
      <c r="P11" s="10">
        <v>5325</v>
      </c>
      <c r="S11" s="8" t="s">
        <v>83</v>
      </c>
      <c r="T11" s="11">
        <v>361</v>
      </c>
      <c r="U11" s="11">
        <v>391</v>
      </c>
      <c r="V11" s="11">
        <v>423</v>
      </c>
      <c r="W11" s="11">
        <v>408</v>
      </c>
      <c r="X11" s="11">
        <v>402</v>
      </c>
      <c r="Y11" s="11">
        <v>408</v>
      </c>
    </row>
    <row r="12" spans="1:25" x14ac:dyDescent="0.25">
      <c r="A12" s="8" t="s">
        <v>14</v>
      </c>
      <c r="B12" s="10">
        <v>-492</v>
      </c>
      <c r="C12" s="10">
        <v>-270</v>
      </c>
      <c r="D12" s="11">
        <v>-55</v>
      </c>
      <c r="E12" s="10">
        <v>-100</v>
      </c>
      <c r="F12" s="10">
        <v>-214</v>
      </c>
      <c r="G12" s="10">
        <v>-140</v>
      </c>
      <c r="J12" s="8" t="s">
        <v>47</v>
      </c>
      <c r="K12" s="10">
        <v>2554</v>
      </c>
      <c r="L12" s="10">
        <v>2513</v>
      </c>
      <c r="M12" s="10">
        <v>2435</v>
      </c>
      <c r="N12" s="10">
        <v>2723</v>
      </c>
      <c r="O12" s="10">
        <v>2849</v>
      </c>
      <c r="P12" s="10">
        <v>2696</v>
      </c>
      <c r="S12" s="8" t="s">
        <v>107</v>
      </c>
      <c r="T12" s="11">
        <v>279</v>
      </c>
      <c r="U12" s="11">
        <v>132</v>
      </c>
      <c r="V12" s="11"/>
      <c r="W12" s="11"/>
      <c r="X12" s="11"/>
      <c r="Y12" s="11"/>
    </row>
    <row r="13" spans="1:25" ht="30" x14ac:dyDescent="0.25">
      <c r="A13" s="8" t="s">
        <v>15</v>
      </c>
      <c r="B13" s="10">
        <v>342</v>
      </c>
      <c r="C13" s="10">
        <v>140</v>
      </c>
      <c r="D13" s="11">
        <v>75</v>
      </c>
      <c r="E13" s="10">
        <v>239</v>
      </c>
      <c r="F13" s="10">
        <v>-69</v>
      </c>
      <c r="G13" s="10">
        <v>-31</v>
      </c>
      <c r="J13" s="20" t="s">
        <v>48</v>
      </c>
      <c r="K13" s="21">
        <v>32475</v>
      </c>
      <c r="L13" s="21">
        <v>32875</v>
      </c>
      <c r="M13" s="21">
        <v>35515</v>
      </c>
      <c r="N13" s="21">
        <v>38582</v>
      </c>
      <c r="O13" s="21">
        <v>41192</v>
      </c>
      <c r="P13" s="21">
        <v>42263</v>
      </c>
      <c r="S13" s="8" t="s">
        <v>84</v>
      </c>
      <c r="T13" s="11">
        <v>29</v>
      </c>
      <c r="U13" s="11">
        <v>9</v>
      </c>
      <c r="V13" s="11">
        <v>204</v>
      </c>
      <c r="W13" s="11">
        <v>231</v>
      </c>
      <c r="X13" s="11">
        <v>395</v>
      </c>
      <c r="Y13" s="11">
        <v>234</v>
      </c>
    </row>
    <row r="14" spans="1:25" ht="30" x14ac:dyDescent="0.25">
      <c r="A14" s="8" t="s">
        <v>16</v>
      </c>
      <c r="B14" s="10">
        <v>-466</v>
      </c>
      <c r="C14" s="10">
        <v>-409</v>
      </c>
      <c r="D14" s="11">
        <v>-343</v>
      </c>
      <c r="E14" s="10">
        <v>-369</v>
      </c>
      <c r="F14" s="10">
        <v>-235</v>
      </c>
      <c r="G14" s="10">
        <v>23</v>
      </c>
      <c r="J14" s="20" t="s">
        <v>49</v>
      </c>
      <c r="K14" s="21">
        <v>-17395</v>
      </c>
      <c r="L14" s="21">
        <v>-18373</v>
      </c>
      <c r="M14" s="21">
        <v>-19572</v>
      </c>
      <c r="N14" s="21">
        <v>-20687</v>
      </c>
      <c r="O14" s="21">
        <v>-22459</v>
      </c>
      <c r="P14" s="21">
        <v>-23722</v>
      </c>
      <c r="S14" s="4" t="s">
        <v>85</v>
      </c>
      <c r="T14" s="17"/>
      <c r="U14" s="17"/>
      <c r="V14" s="17" t="s">
        <v>24</v>
      </c>
      <c r="W14" s="17" t="s">
        <v>24</v>
      </c>
      <c r="X14" s="17" t="s">
        <v>24</v>
      </c>
      <c r="Y14" s="17" t="s">
        <v>24</v>
      </c>
    </row>
    <row r="15" spans="1:25" s="14" customFormat="1" ht="45" x14ac:dyDescent="0.25">
      <c r="A15" s="8" t="s">
        <v>17</v>
      </c>
      <c r="B15" s="10">
        <v>577</v>
      </c>
      <c r="C15" s="10">
        <v>440</v>
      </c>
      <c r="D15" s="11">
        <v>585</v>
      </c>
      <c r="E15" s="10">
        <v>627</v>
      </c>
      <c r="F15" s="10">
        <v>688</v>
      </c>
      <c r="G15" s="10">
        <v>854</v>
      </c>
      <c r="J15" s="22" t="s">
        <v>50</v>
      </c>
      <c r="K15" s="23">
        <f>SUM(K13:K14)</f>
        <v>15080</v>
      </c>
      <c r="L15" s="23">
        <f t="shared" ref="L15:P15" si="2">SUM(L13:L14)</f>
        <v>14502</v>
      </c>
      <c r="M15" s="23">
        <f t="shared" si="2"/>
        <v>15943</v>
      </c>
      <c r="N15" s="23">
        <f t="shared" si="2"/>
        <v>17895</v>
      </c>
      <c r="O15" s="23">
        <f t="shared" si="2"/>
        <v>18733</v>
      </c>
      <c r="P15" s="23">
        <f t="shared" si="2"/>
        <v>18541</v>
      </c>
      <c r="S15" s="8" t="s">
        <v>40</v>
      </c>
      <c r="T15" s="11">
        <v>468</v>
      </c>
      <c r="U15" s="11">
        <v>-686</v>
      </c>
      <c r="V15" s="11">
        <v>-518</v>
      </c>
      <c r="W15" s="11">
        <v>-108</v>
      </c>
      <c r="X15" s="11">
        <v>-374</v>
      </c>
      <c r="Y15" s="11">
        <v>-480</v>
      </c>
    </row>
    <row r="16" spans="1:25" x14ac:dyDescent="0.25">
      <c r="A16" s="6" t="s">
        <v>18</v>
      </c>
      <c r="B16" s="7">
        <f>+B11+SUM(B12:B15)</f>
        <v>5658</v>
      </c>
      <c r="C16" s="7">
        <f t="shared" ref="C16:G16" si="3">+C11+SUM(C12:C15)</f>
        <v>6627</v>
      </c>
      <c r="D16" s="7">
        <f t="shared" si="3"/>
        <v>8043</v>
      </c>
      <c r="E16" s="7">
        <f t="shared" si="3"/>
        <v>9260</v>
      </c>
      <c r="F16" s="7">
        <f t="shared" si="3"/>
        <v>9620</v>
      </c>
      <c r="G16" s="7">
        <f t="shared" si="3"/>
        <v>12246</v>
      </c>
      <c r="J16" s="20" t="s">
        <v>51</v>
      </c>
      <c r="K16" s="21">
        <v>1350</v>
      </c>
      <c r="L16" s="21">
        <v>2180</v>
      </c>
      <c r="M16" s="21">
        <v>2625</v>
      </c>
      <c r="N16" s="21">
        <v>2453</v>
      </c>
      <c r="O16" s="21">
        <v>2476</v>
      </c>
      <c r="P16" s="21">
        <v>3553</v>
      </c>
      <c r="S16" s="8" t="s">
        <v>41</v>
      </c>
      <c r="T16" s="11">
        <v>-117</v>
      </c>
      <c r="U16" s="11">
        <v>-127</v>
      </c>
      <c r="V16" s="11">
        <v>-199</v>
      </c>
      <c r="W16" s="11">
        <v>18</v>
      </c>
      <c r="X16" s="11">
        <v>51</v>
      </c>
      <c r="Y16" s="11">
        <v>-81</v>
      </c>
    </row>
    <row r="17" spans="1:25" s="14" customFormat="1" x14ac:dyDescent="0.25">
      <c r="A17" s="8" t="s">
        <v>19</v>
      </c>
      <c r="B17" s="10">
        <v>-2049</v>
      </c>
      <c r="C17" s="10">
        <v>-2314</v>
      </c>
      <c r="D17" s="11">
        <v>-2785</v>
      </c>
      <c r="E17" s="10">
        <v>-3087</v>
      </c>
      <c r="F17" s="10">
        <v>-2984</v>
      </c>
      <c r="G17" s="10">
        <v>-4242</v>
      </c>
      <c r="J17" s="20" t="s">
        <v>52</v>
      </c>
      <c r="K17" s="21">
        <v>1167</v>
      </c>
      <c r="L17" s="21">
        <v>1124</v>
      </c>
      <c r="M17" s="21">
        <v>1127</v>
      </c>
      <c r="N17" s="21">
        <v>1164</v>
      </c>
      <c r="O17" s="21">
        <v>1171</v>
      </c>
      <c r="P17" s="21">
        <v>1238</v>
      </c>
      <c r="S17" s="8" t="s">
        <v>55</v>
      </c>
      <c r="T17" s="11">
        <v>-565</v>
      </c>
      <c r="U17" s="11">
        <v>42</v>
      </c>
      <c r="V17" s="11">
        <v>-189</v>
      </c>
      <c r="W17" s="11">
        <v>-151</v>
      </c>
      <c r="X17" s="11">
        <v>-30</v>
      </c>
      <c r="Y17" s="11">
        <v>-151</v>
      </c>
    </row>
    <row r="18" spans="1:25" ht="30" x14ac:dyDescent="0.25">
      <c r="A18" s="6" t="s">
        <v>20</v>
      </c>
      <c r="B18" s="7">
        <f>+B16+B17</f>
        <v>3609</v>
      </c>
      <c r="C18" s="7">
        <f t="shared" ref="C18:G18" si="4">+C16+C17</f>
        <v>4313</v>
      </c>
      <c r="D18" s="7">
        <f t="shared" si="4"/>
        <v>5258</v>
      </c>
      <c r="E18" s="7">
        <f t="shared" si="4"/>
        <v>6173</v>
      </c>
      <c r="F18" s="7">
        <f t="shared" si="4"/>
        <v>6636</v>
      </c>
      <c r="G18" s="7">
        <f t="shared" si="4"/>
        <v>8004</v>
      </c>
      <c r="J18" s="22" t="s">
        <v>108</v>
      </c>
      <c r="K18" s="23">
        <f>+SUM(K15:K17)</f>
        <v>17597</v>
      </c>
      <c r="L18" s="23">
        <f t="shared" ref="L18:P18" si="5">+SUM(L15:L17)</f>
        <v>17806</v>
      </c>
      <c r="M18" s="23">
        <f t="shared" si="5"/>
        <v>19695</v>
      </c>
      <c r="N18" s="23">
        <f t="shared" si="5"/>
        <v>21512</v>
      </c>
      <c r="O18" s="23">
        <f t="shared" si="5"/>
        <v>22380</v>
      </c>
      <c r="P18" s="23">
        <f t="shared" si="5"/>
        <v>23332</v>
      </c>
      <c r="S18" s="8" t="s">
        <v>58</v>
      </c>
      <c r="T18" s="11">
        <v>-250</v>
      </c>
      <c r="U18" s="11">
        <v>649</v>
      </c>
      <c r="V18" s="11">
        <v>-367</v>
      </c>
      <c r="W18" s="11">
        <v>-608</v>
      </c>
      <c r="X18" s="11">
        <v>367</v>
      </c>
      <c r="Y18" s="11">
        <v>536</v>
      </c>
    </row>
    <row r="19" spans="1:25" s="14" customFormat="1" ht="30" x14ac:dyDescent="0.25">
      <c r="A19" s="8" t="s">
        <v>21</v>
      </c>
      <c r="B19" s="10">
        <v>-302</v>
      </c>
      <c r="C19" s="10">
        <v>-350</v>
      </c>
      <c r="D19" s="11">
        <v>-451</v>
      </c>
      <c r="E19" s="10">
        <v>-491</v>
      </c>
      <c r="F19" s="10">
        <v>-500</v>
      </c>
      <c r="G19" s="10">
        <v>-503</v>
      </c>
      <c r="J19" s="8" t="s">
        <v>53</v>
      </c>
      <c r="K19" s="10">
        <v>2247</v>
      </c>
      <c r="L19" s="10">
        <v>5081</v>
      </c>
      <c r="M19" s="10">
        <v>5121</v>
      </c>
      <c r="N19" s="10">
        <v>5015</v>
      </c>
      <c r="O19" s="10">
        <v>7370</v>
      </c>
      <c r="P19" s="10">
        <v>7434</v>
      </c>
      <c r="S19" s="8" t="s">
        <v>19</v>
      </c>
      <c r="T19" s="11">
        <v>8</v>
      </c>
      <c r="U19" s="11">
        <v>-144</v>
      </c>
      <c r="V19" s="11">
        <v>134</v>
      </c>
      <c r="W19" s="11">
        <v>-242</v>
      </c>
      <c r="X19" s="11">
        <v>89</v>
      </c>
      <c r="Y19" s="11">
        <v>-96</v>
      </c>
    </row>
    <row r="20" spans="1:25" ht="30" x14ac:dyDescent="0.25">
      <c r="A20" s="6" t="s">
        <v>22</v>
      </c>
      <c r="B20" s="7">
        <f>+B18+B19</f>
        <v>3307</v>
      </c>
      <c r="C20" s="7">
        <f t="shared" ref="C20:G20" si="6">+C18+C19</f>
        <v>3963</v>
      </c>
      <c r="D20" s="7">
        <f t="shared" si="6"/>
        <v>4807</v>
      </c>
      <c r="E20" s="7">
        <f t="shared" si="6"/>
        <v>5682</v>
      </c>
      <c r="F20" s="7">
        <f t="shared" si="6"/>
        <v>6136</v>
      </c>
      <c r="G20" s="7">
        <f t="shared" si="6"/>
        <v>7501</v>
      </c>
      <c r="J20" s="8" t="s">
        <v>54</v>
      </c>
      <c r="K20" s="10">
        <v>21683</v>
      </c>
      <c r="L20" s="10">
        <v>24100</v>
      </c>
      <c r="M20" s="10">
        <v>24145</v>
      </c>
      <c r="N20" s="10">
        <v>25110</v>
      </c>
      <c r="O20" s="10">
        <v>27324</v>
      </c>
      <c r="P20" s="10">
        <v>27881</v>
      </c>
      <c r="S20" s="2" t="s">
        <v>86</v>
      </c>
      <c r="T20" s="17">
        <f>SUM(T4:T19)</f>
        <v>5319</v>
      </c>
      <c r="U20" s="17">
        <f t="shared" ref="U20:Y20" si="7">SUM(U4:U19)</f>
        <v>6578</v>
      </c>
      <c r="V20" s="17">
        <f t="shared" si="7"/>
        <v>6994</v>
      </c>
      <c r="W20" s="17">
        <f>SUM(W4:W19)</f>
        <v>7966</v>
      </c>
      <c r="X20" s="17">
        <f t="shared" si="7"/>
        <v>9452</v>
      </c>
      <c r="Y20" s="17">
        <f t="shared" si="7"/>
        <v>9780</v>
      </c>
    </row>
    <row r="21" spans="1:25" s="14" customFormat="1" ht="30" x14ac:dyDescent="0.25">
      <c r="A21" s="12" t="s">
        <v>23</v>
      </c>
      <c r="B21" s="10"/>
      <c r="C21" s="10"/>
      <c r="D21" s="11" t="s">
        <v>24</v>
      </c>
      <c r="E21" s="10" t="s">
        <v>24</v>
      </c>
      <c r="F21" s="10" t="s">
        <v>24</v>
      </c>
      <c r="G21" s="10" t="s">
        <v>24</v>
      </c>
      <c r="J21" s="8" t="s">
        <v>55</v>
      </c>
      <c r="K21" s="10">
        <v>2022</v>
      </c>
      <c r="L21" s="10">
        <v>2708</v>
      </c>
      <c r="M21" s="10">
        <v>2614</v>
      </c>
      <c r="N21" s="10">
        <v>2288</v>
      </c>
      <c r="O21" s="10">
        <v>2426</v>
      </c>
      <c r="P21" s="10">
        <v>2342</v>
      </c>
      <c r="S21" s="4" t="s">
        <v>87</v>
      </c>
      <c r="T21" s="17"/>
      <c r="U21" s="17"/>
      <c r="V21" s="17" t="s">
        <v>24</v>
      </c>
      <c r="W21" s="17" t="s">
        <v>24</v>
      </c>
      <c r="X21" s="17" t="s">
        <v>24</v>
      </c>
      <c r="Y21" s="17" t="s">
        <v>24</v>
      </c>
    </row>
    <row r="22" spans="1:25" s="14" customFormat="1" ht="30" x14ac:dyDescent="0.25">
      <c r="A22" s="6" t="s">
        <v>25</v>
      </c>
      <c r="B22" s="7">
        <f>+B20/B25</f>
        <v>1.7637333333333334</v>
      </c>
      <c r="C22" s="7">
        <f t="shared" ref="C22:G22" si="8">+C20/C25</f>
        <v>2.0343942505133472</v>
      </c>
      <c r="D22" s="7">
        <f t="shared" si="8"/>
        <v>2.5180722891566263</v>
      </c>
      <c r="E22" s="7">
        <f t="shared" si="8"/>
        <v>3.1254125412541254</v>
      </c>
      <c r="F22" s="7">
        <f t="shared" si="8"/>
        <v>3.3844456701599559</v>
      </c>
      <c r="G22" s="7">
        <f t="shared" si="8"/>
        <v>4.26435474701535</v>
      </c>
      <c r="J22" s="6" t="s">
        <v>56</v>
      </c>
      <c r="K22" s="7">
        <f>+K10+K11+K12+SUM(K18:K21)</f>
        <v>63117</v>
      </c>
      <c r="L22" s="7">
        <f t="shared" ref="L22:P22" si="9">+L10+L11+L12+SUM(L18:L21)</f>
        <v>69206</v>
      </c>
      <c r="M22" s="7">
        <f t="shared" si="9"/>
        <v>72124</v>
      </c>
      <c r="N22" s="7">
        <f t="shared" si="9"/>
        <v>74898</v>
      </c>
      <c r="O22" s="7">
        <f t="shared" si="9"/>
        <v>81241</v>
      </c>
      <c r="P22" s="7">
        <f t="shared" si="9"/>
        <v>84186</v>
      </c>
      <c r="S22" s="8" t="s">
        <v>88</v>
      </c>
      <c r="T22" s="11">
        <v>-1753</v>
      </c>
      <c r="U22" s="11">
        <v>-2110</v>
      </c>
      <c r="V22" s="11">
        <v>-3559</v>
      </c>
      <c r="W22" s="11">
        <v>-3784</v>
      </c>
      <c r="X22" s="11">
        <v>-2796</v>
      </c>
      <c r="Y22" s="11">
        <v>-3311</v>
      </c>
    </row>
    <row r="23" spans="1:25" ht="30" x14ac:dyDescent="0.25">
      <c r="A23" s="6" t="s">
        <v>26</v>
      </c>
      <c r="B23" s="7">
        <f>+B20/B26</f>
        <v>1.7817887931034482</v>
      </c>
      <c r="C23" s="7">
        <f t="shared" ref="C23:G23" si="10">+C20/C26</f>
        <v>2.0694516971279375</v>
      </c>
      <c r="D23" s="7">
        <f t="shared" si="10"/>
        <v>2.5596379126730566</v>
      </c>
      <c r="E23" s="7">
        <f t="shared" si="10"/>
        <v>3.1672240802675584</v>
      </c>
      <c r="F23" s="7">
        <f t="shared" si="10"/>
        <v>3.4241071428571428</v>
      </c>
      <c r="G23" s="7">
        <f t="shared" si="10"/>
        <v>4.310919540229885</v>
      </c>
      <c r="J23" s="4" t="s">
        <v>57</v>
      </c>
      <c r="K23" s="16"/>
      <c r="L23" s="16"/>
      <c r="M23" s="16"/>
      <c r="N23" s="16" t="s">
        <v>24</v>
      </c>
      <c r="O23" s="16" t="s">
        <v>24</v>
      </c>
      <c r="P23" s="16" t="s">
        <v>24</v>
      </c>
      <c r="S23" s="8" t="s">
        <v>89</v>
      </c>
      <c r="T23" s="11">
        <v>185</v>
      </c>
      <c r="U23" s="11">
        <v>170</v>
      </c>
      <c r="V23" s="11">
        <v>564</v>
      </c>
      <c r="W23" s="11">
        <v>110</v>
      </c>
      <c r="X23" s="11">
        <v>479</v>
      </c>
      <c r="Y23" s="11">
        <v>395</v>
      </c>
    </row>
    <row r="24" spans="1:25" ht="45" x14ac:dyDescent="0.25">
      <c r="A24" s="12" t="s">
        <v>27</v>
      </c>
      <c r="B24" s="10"/>
      <c r="C24" s="10"/>
      <c r="D24" s="11" t="s">
        <v>24</v>
      </c>
      <c r="E24" s="10" t="s">
        <v>24</v>
      </c>
      <c r="F24" s="10" t="s">
        <v>24</v>
      </c>
      <c r="G24" s="10" t="s">
        <v>24</v>
      </c>
      <c r="J24" s="8" t="s">
        <v>58</v>
      </c>
      <c r="K24" s="10">
        <v>5616</v>
      </c>
      <c r="L24" s="10">
        <v>6109</v>
      </c>
      <c r="M24" s="10">
        <v>6362</v>
      </c>
      <c r="N24" s="10">
        <v>6393</v>
      </c>
      <c r="O24" s="10">
        <v>6803</v>
      </c>
      <c r="P24" s="10">
        <v>7595</v>
      </c>
      <c r="S24" s="8" t="s">
        <v>90</v>
      </c>
      <c r="T24" s="11">
        <v>-176</v>
      </c>
      <c r="U24" s="11">
        <v>-2493</v>
      </c>
      <c r="V24" s="11">
        <v>-184</v>
      </c>
      <c r="W24" s="11">
        <v>-1088</v>
      </c>
      <c r="X24" s="11">
        <v>-2443</v>
      </c>
      <c r="Y24" s="11">
        <v>-402</v>
      </c>
    </row>
    <row r="25" spans="1:25" x14ac:dyDescent="0.25">
      <c r="A25" s="8" t="s">
        <v>28</v>
      </c>
      <c r="B25" s="10">
        <v>1875</v>
      </c>
      <c r="C25" s="10">
        <v>1948</v>
      </c>
      <c r="D25" s="11">
        <v>1909</v>
      </c>
      <c r="E25" s="10">
        <v>1818</v>
      </c>
      <c r="F25" s="10">
        <v>1813</v>
      </c>
      <c r="G25" s="10">
        <v>1759</v>
      </c>
      <c r="J25" s="8" t="s">
        <v>59</v>
      </c>
      <c r="K25" s="10">
        <v>1206</v>
      </c>
      <c r="L25" s="10">
        <v>2350</v>
      </c>
      <c r="M25" s="10">
        <v>3055</v>
      </c>
      <c r="N25" s="10">
        <v>3614</v>
      </c>
      <c r="O25" s="10">
        <v>1512</v>
      </c>
      <c r="P25" s="10">
        <v>2164</v>
      </c>
      <c r="S25" s="8" t="s">
        <v>91</v>
      </c>
      <c r="T25" s="11">
        <v>-11</v>
      </c>
      <c r="U25" s="11">
        <v>-90</v>
      </c>
      <c r="V25" s="11">
        <v>-107</v>
      </c>
      <c r="W25" s="11">
        <v>3</v>
      </c>
      <c r="X25" s="11">
        <v>84</v>
      </c>
      <c r="Y25" s="11">
        <v>-27</v>
      </c>
    </row>
    <row r="26" spans="1:25" x14ac:dyDescent="0.25">
      <c r="A26" s="8" t="s">
        <v>29</v>
      </c>
      <c r="B26" s="10">
        <v>1856</v>
      </c>
      <c r="C26" s="10">
        <v>1915</v>
      </c>
      <c r="D26" s="11">
        <v>1878</v>
      </c>
      <c r="E26" s="10">
        <v>1794</v>
      </c>
      <c r="F26" s="10">
        <v>1792</v>
      </c>
      <c r="G26" s="10">
        <v>1740</v>
      </c>
      <c r="J26" s="8" t="s">
        <v>60</v>
      </c>
      <c r="K26" s="10">
        <v>2112</v>
      </c>
      <c r="L26" s="10">
        <v>2541</v>
      </c>
      <c r="M26" s="10">
        <v>2671</v>
      </c>
      <c r="N26" s="10">
        <v>2806</v>
      </c>
      <c r="O26" s="10">
        <v>3389</v>
      </c>
      <c r="P26" s="10">
        <v>3533</v>
      </c>
      <c r="S26" s="2" t="s">
        <v>92</v>
      </c>
      <c r="T26" s="17">
        <f>+SUM(T22:T25)</f>
        <v>-1755</v>
      </c>
      <c r="U26" s="17">
        <f t="shared" ref="U26:Y26" si="11">+SUM(U22:U25)</f>
        <v>-4523</v>
      </c>
      <c r="V26" s="17">
        <f t="shared" si="11"/>
        <v>-3286</v>
      </c>
      <c r="W26" s="17">
        <f>+SUM(W22:W25)</f>
        <v>-4759</v>
      </c>
      <c r="X26" s="17">
        <f t="shared" si="11"/>
        <v>-4676</v>
      </c>
      <c r="Y26" s="17">
        <f t="shared" si="11"/>
        <v>-3345</v>
      </c>
    </row>
    <row r="27" spans="1:25" ht="30" x14ac:dyDescent="0.25">
      <c r="A27" s="8" t="s">
        <v>30</v>
      </c>
      <c r="B27" s="13"/>
      <c r="C27" s="13"/>
      <c r="D27" s="13"/>
      <c r="E27" s="10">
        <v>0.6</v>
      </c>
      <c r="F27" s="10">
        <v>0.75</v>
      </c>
      <c r="G27" s="10">
        <v>0.86</v>
      </c>
      <c r="J27" s="18" t="s">
        <v>61</v>
      </c>
      <c r="K27" s="19">
        <f>+SUM(K24:K26)</f>
        <v>8934</v>
      </c>
      <c r="L27" s="19">
        <f t="shared" ref="L27:P27" si="12">+SUM(L24:L26)</f>
        <v>11000</v>
      </c>
      <c r="M27" s="19">
        <f t="shared" si="12"/>
        <v>12088</v>
      </c>
      <c r="N27" s="19">
        <f t="shared" si="12"/>
        <v>12813</v>
      </c>
      <c r="O27" s="19">
        <f t="shared" si="12"/>
        <v>11704</v>
      </c>
      <c r="P27" s="19">
        <f t="shared" si="12"/>
        <v>13292</v>
      </c>
      <c r="S27" s="4" t="s">
        <v>93</v>
      </c>
      <c r="T27" s="17"/>
      <c r="U27" s="17"/>
      <c r="V27" s="17" t="s">
        <v>24</v>
      </c>
      <c r="W27" s="17" t="s">
        <v>24</v>
      </c>
      <c r="X27" s="17" t="s">
        <v>24</v>
      </c>
      <c r="Y27" s="17" t="s">
        <v>24</v>
      </c>
    </row>
    <row r="28" spans="1:25" ht="30" x14ac:dyDescent="0.25">
      <c r="J28" s="8" t="s">
        <v>62</v>
      </c>
      <c r="K28" s="10">
        <v>11495</v>
      </c>
      <c r="L28" s="10">
        <v>10130</v>
      </c>
      <c r="M28" s="10">
        <v>10922</v>
      </c>
      <c r="N28" s="10">
        <v>10697</v>
      </c>
      <c r="O28" s="10">
        <v>12776</v>
      </c>
      <c r="P28" s="10">
        <v>12676</v>
      </c>
      <c r="S28" s="8" t="s">
        <v>94</v>
      </c>
      <c r="T28" s="11">
        <v>-1985</v>
      </c>
      <c r="U28" s="11">
        <v>1190</v>
      </c>
      <c r="V28" s="11">
        <v>393</v>
      </c>
      <c r="W28" s="11">
        <v>467</v>
      </c>
      <c r="X28" s="11">
        <v>-2050</v>
      </c>
      <c r="Y28" s="11">
        <v>50</v>
      </c>
    </row>
    <row r="29" spans="1:25" x14ac:dyDescent="0.25">
      <c r="J29" s="8" t="s">
        <v>43</v>
      </c>
      <c r="K29" s="10">
        <v>1819</v>
      </c>
      <c r="L29" s="10">
        <v>2630</v>
      </c>
      <c r="M29" s="10">
        <v>2866</v>
      </c>
      <c r="N29" s="10">
        <v>2251</v>
      </c>
      <c r="O29" s="10">
        <v>4050</v>
      </c>
      <c r="P29" s="10">
        <v>4098</v>
      </c>
      <c r="S29" s="8" t="s">
        <v>62</v>
      </c>
      <c r="T29" s="11">
        <v>1750</v>
      </c>
      <c r="U29" s="11"/>
      <c r="V29" s="11">
        <v>2350</v>
      </c>
      <c r="W29" s="11">
        <v>3779</v>
      </c>
      <c r="X29" s="11">
        <v>3931</v>
      </c>
      <c r="Y29" s="11">
        <v>2231</v>
      </c>
    </row>
    <row r="30" spans="1:25" x14ac:dyDescent="0.25">
      <c r="J30" s="8" t="s">
        <v>63</v>
      </c>
      <c r="K30" s="10">
        <v>5444</v>
      </c>
      <c r="L30" s="10">
        <v>6104</v>
      </c>
      <c r="M30" s="10">
        <v>6795</v>
      </c>
      <c r="N30" s="10">
        <v>7179</v>
      </c>
      <c r="O30" s="10">
        <v>4561</v>
      </c>
      <c r="P30" s="10">
        <v>5942</v>
      </c>
      <c r="S30" s="8" t="s">
        <v>95</v>
      </c>
      <c r="T30" s="11">
        <v>-1617</v>
      </c>
      <c r="U30" s="11">
        <v>-1371</v>
      </c>
      <c r="V30" s="11">
        <v>-1096</v>
      </c>
      <c r="W30" s="11">
        <v>-3822</v>
      </c>
      <c r="X30" s="11">
        <v>-1502</v>
      </c>
      <c r="Y30" s="11">
        <v>-1648</v>
      </c>
    </row>
    <row r="31" spans="1:25" ht="30" x14ac:dyDescent="0.25">
      <c r="J31" s="8" t="s">
        <v>64</v>
      </c>
      <c r="K31" s="10"/>
      <c r="L31" s="10"/>
      <c r="M31" s="10" t="s">
        <v>77</v>
      </c>
      <c r="N31" s="10" t="s">
        <v>65</v>
      </c>
      <c r="O31" s="10" t="s">
        <v>65</v>
      </c>
      <c r="P31" s="10" t="s">
        <v>65</v>
      </c>
      <c r="S31" s="8" t="s">
        <v>96</v>
      </c>
      <c r="T31" s="11">
        <v>-648</v>
      </c>
      <c r="U31" s="11">
        <v>-653</v>
      </c>
      <c r="V31" s="11">
        <v>-756</v>
      </c>
      <c r="W31" s="11">
        <v>-1076</v>
      </c>
      <c r="X31" s="11">
        <v>-1324</v>
      </c>
      <c r="Y31" s="11">
        <v>-1508</v>
      </c>
    </row>
    <row r="32" spans="1:25" x14ac:dyDescent="0.25">
      <c r="J32" s="4" t="s">
        <v>66</v>
      </c>
      <c r="K32" s="16"/>
      <c r="L32" s="16"/>
      <c r="M32" s="16"/>
      <c r="N32" s="16" t="s">
        <v>24</v>
      </c>
      <c r="O32" s="16" t="s">
        <v>24</v>
      </c>
      <c r="P32" s="16" t="s">
        <v>24</v>
      </c>
      <c r="S32" s="8" t="s">
        <v>97</v>
      </c>
      <c r="T32" s="11">
        <v>-138</v>
      </c>
      <c r="U32" s="11">
        <v>-2669</v>
      </c>
      <c r="V32" s="11">
        <v>-4993</v>
      </c>
      <c r="W32" s="11">
        <v>-3015</v>
      </c>
      <c r="X32" s="11">
        <v>-4087</v>
      </c>
      <c r="Y32" s="11">
        <v>-6527</v>
      </c>
    </row>
    <row r="33" spans="1:25" ht="45" x14ac:dyDescent="0.25">
      <c r="J33" s="8" t="s">
        <v>67</v>
      </c>
      <c r="K33" s="10"/>
      <c r="L33" s="10"/>
      <c r="M33" s="10" t="s">
        <v>77</v>
      </c>
      <c r="N33" s="10">
        <v>0</v>
      </c>
      <c r="O33" s="10">
        <v>0</v>
      </c>
      <c r="P33" s="10">
        <v>0</v>
      </c>
      <c r="S33" s="8" t="s">
        <v>98</v>
      </c>
      <c r="T33" s="11">
        <v>119</v>
      </c>
      <c r="U33" s="11">
        <v>1133</v>
      </c>
      <c r="V33" s="11">
        <v>1128</v>
      </c>
      <c r="W33" s="11">
        <v>1008</v>
      </c>
      <c r="X33" s="11">
        <v>587</v>
      </c>
      <c r="Y33" s="11">
        <v>404</v>
      </c>
    </row>
    <row r="34" spans="1:25" ht="45" x14ac:dyDescent="0.25">
      <c r="J34" s="8" t="s">
        <v>68</v>
      </c>
      <c r="K34" s="10">
        <v>27038</v>
      </c>
      <c r="L34" s="10">
        <v>28736</v>
      </c>
      <c r="M34" s="10">
        <v>30296</v>
      </c>
      <c r="N34" s="10">
        <v>31731</v>
      </c>
      <c r="O34" s="10">
        <v>33440</v>
      </c>
      <c r="P34" s="10">
        <v>34301</v>
      </c>
      <c r="S34" s="8" t="s">
        <v>91</v>
      </c>
      <c r="T34" s="11">
        <v>-592</v>
      </c>
      <c r="U34" s="11">
        <v>-293</v>
      </c>
      <c r="V34" s="11">
        <v>-259</v>
      </c>
      <c r="W34" s="11">
        <v>-326</v>
      </c>
      <c r="X34" s="11">
        <v>231</v>
      </c>
      <c r="Y34" s="11">
        <v>288</v>
      </c>
    </row>
    <row r="35" spans="1:25" x14ac:dyDescent="0.25">
      <c r="J35" s="8" t="s">
        <v>69</v>
      </c>
      <c r="K35" s="10">
        <v>31033</v>
      </c>
      <c r="L35" s="10">
        <v>34327</v>
      </c>
      <c r="M35" s="10">
        <v>38375</v>
      </c>
      <c r="N35" s="10">
        <v>42965</v>
      </c>
      <c r="O35" s="10">
        <v>47758</v>
      </c>
      <c r="P35" s="10">
        <v>53734</v>
      </c>
      <c r="S35" s="2" t="s">
        <v>99</v>
      </c>
      <c r="T35" s="17">
        <f>SUM(T28:T34)</f>
        <v>-3111</v>
      </c>
      <c r="U35" s="17">
        <f t="shared" ref="U35:Y35" si="13">SUM(U28:U34)</f>
        <v>-2663</v>
      </c>
      <c r="V35" s="17">
        <f t="shared" si="13"/>
        <v>-3233</v>
      </c>
      <c r="W35" s="17">
        <f>SUM(W28:W34)</f>
        <v>-2985</v>
      </c>
      <c r="X35" s="17">
        <f t="shared" si="13"/>
        <v>-4214</v>
      </c>
      <c r="Y35" s="17">
        <f t="shared" si="13"/>
        <v>-6710</v>
      </c>
    </row>
    <row r="36" spans="1:25" ht="30" x14ac:dyDescent="0.25">
      <c r="J36" s="8" t="s">
        <v>70</v>
      </c>
      <c r="K36" s="10">
        <v>-1644</v>
      </c>
      <c r="L36" s="10">
        <v>-1881</v>
      </c>
      <c r="M36" s="10">
        <v>-2630</v>
      </c>
      <c r="N36" s="10">
        <v>-3266</v>
      </c>
      <c r="O36" s="10">
        <v>-1187</v>
      </c>
      <c r="P36" s="10">
        <v>-1968</v>
      </c>
      <c r="S36" s="8" t="s">
        <v>100</v>
      </c>
      <c r="T36" s="11">
        <v>-37</v>
      </c>
      <c r="U36" s="11">
        <v>-87</v>
      </c>
      <c r="V36" s="11">
        <v>-12</v>
      </c>
      <c r="W36" s="11">
        <v>-20</v>
      </c>
      <c r="X36" s="11">
        <v>-18</v>
      </c>
      <c r="Y36" s="11">
        <v>-235</v>
      </c>
    </row>
    <row r="37" spans="1:25" ht="30" x14ac:dyDescent="0.25">
      <c r="J37" s="18" t="s">
        <v>71</v>
      </c>
      <c r="K37" s="19">
        <f>SUM(K33:K36)</f>
        <v>56427</v>
      </c>
      <c r="L37" s="19">
        <f t="shared" ref="L37:P37" si="14">SUM(L33:L36)</f>
        <v>61182</v>
      </c>
      <c r="M37" s="19">
        <f t="shared" si="14"/>
        <v>66041</v>
      </c>
      <c r="N37" s="19">
        <f t="shared" si="14"/>
        <v>71430</v>
      </c>
      <c r="O37" s="19">
        <f t="shared" si="14"/>
        <v>80011</v>
      </c>
      <c r="P37" s="19">
        <f t="shared" si="14"/>
        <v>86067</v>
      </c>
      <c r="S37" s="2" t="s">
        <v>101</v>
      </c>
      <c r="T37" s="17">
        <f>+T20+T26+T35+T36</f>
        <v>416</v>
      </c>
      <c r="U37" s="17">
        <f t="shared" ref="U37:Y37" si="15">+U20+U26+U35+U36</f>
        <v>-695</v>
      </c>
      <c r="V37" s="17">
        <f t="shared" si="15"/>
        <v>463</v>
      </c>
      <c r="W37" s="17">
        <f>+W20+W26+W35+W36</f>
        <v>202</v>
      </c>
      <c r="X37" s="17">
        <f t="shared" si="15"/>
        <v>544</v>
      </c>
      <c r="Y37" s="17">
        <f t="shared" si="15"/>
        <v>-510</v>
      </c>
    </row>
    <row r="38" spans="1:25" ht="45" x14ac:dyDescent="0.25">
      <c r="J38" s="8" t="s">
        <v>72</v>
      </c>
      <c r="K38" s="10">
        <v>-22693</v>
      </c>
      <c r="L38" s="10">
        <v>-23663</v>
      </c>
      <c r="M38" s="10">
        <v>-28656</v>
      </c>
      <c r="N38" s="10">
        <v>-31671</v>
      </c>
      <c r="O38" s="10">
        <v>-34582</v>
      </c>
      <c r="P38" s="10">
        <v>-41109</v>
      </c>
      <c r="S38" s="8" t="s">
        <v>102</v>
      </c>
      <c r="T38" s="11">
        <v>3001</v>
      </c>
      <c r="U38" s="11">
        <v>3417</v>
      </c>
      <c r="V38" s="11">
        <v>2722</v>
      </c>
      <c r="W38" s="11">
        <v>3185</v>
      </c>
      <c r="X38" s="11">
        <v>3387</v>
      </c>
      <c r="Y38" s="11">
        <v>3931</v>
      </c>
    </row>
    <row r="39" spans="1:25" x14ac:dyDescent="0.25">
      <c r="J39" s="18" t="s">
        <v>73</v>
      </c>
      <c r="K39" s="19">
        <f>+K37+K38</f>
        <v>33734</v>
      </c>
      <c r="L39" s="19">
        <f t="shared" ref="L39:P39" si="16">+L37+L38</f>
        <v>37519</v>
      </c>
      <c r="M39" s="19">
        <f t="shared" si="16"/>
        <v>37385</v>
      </c>
      <c r="N39" s="19">
        <f t="shared" si="16"/>
        <v>39759</v>
      </c>
      <c r="O39" s="19">
        <f t="shared" si="16"/>
        <v>45429</v>
      </c>
      <c r="P39" s="19">
        <f t="shared" si="16"/>
        <v>44958</v>
      </c>
      <c r="S39" s="2" t="s">
        <v>103</v>
      </c>
      <c r="T39" s="17">
        <f>+SUM(T37:T38)</f>
        <v>3417</v>
      </c>
      <c r="U39" s="17">
        <f t="shared" ref="U39:Y39" si="17">+SUM(U37:U38)</f>
        <v>2722</v>
      </c>
      <c r="V39" s="17">
        <f t="shared" si="17"/>
        <v>3185</v>
      </c>
      <c r="W39" s="17">
        <f>+SUM(W37:W38)</f>
        <v>3387</v>
      </c>
      <c r="X39" s="17">
        <f t="shared" si="17"/>
        <v>3931</v>
      </c>
      <c r="Y39" s="17">
        <f t="shared" si="17"/>
        <v>3421</v>
      </c>
    </row>
    <row r="40" spans="1:25" ht="30" x14ac:dyDescent="0.25">
      <c r="J40" s="8" t="s">
        <v>74</v>
      </c>
      <c r="K40" s="10">
        <v>1691</v>
      </c>
      <c r="L40" s="10">
        <v>1823</v>
      </c>
      <c r="M40" s="10">
        <v>2068</v>
      </c>
      <c r="N40" s="10">
        <v>2199</v>
      </c>
      <c r="O40" s="10">
        <v>2721</v>
      </c>
      <c r="P40" s="10">
        <v>3220</v>
      </c>
      <c r="S40" s="4" t="s">
        <v>104</v>
      </c>
      <c r="T40" s="17"/>
      <c r="U40" s="17"/>
      <c r="V40" s="17" t="s">
        <v>24</v>
      </c>
      <c r="W40" s="17" t="s">
        <v>24</v>
      </c>
      <c r="X40" s="17" t="s">
        <v>24</v>
      </c>
      <c r="Y40" s="17" t="s">
        <v>24</v>
      </c>
    </row>
    <row r="41" spans="1:25" x14ac:dyDescent="0.25">
      <c r="J41" s="18" t="s">
        <v>75</v>
      </c>
      <c r="K41" s="19">
        <f>+K39+K40</f>
        <v>35425</v>
      </c>
      <c r="L41" s="19">
        <f t="shared" ref="L41:P41" si="18">+L39+L40</f>
        <v>39342</v>
      </c>
      <c r="M41" s="19">
        <f t="shared" si="18"/>
        <v>39453</v>
      </c>
      <c r="N41" s="19">
        <f t="shared" si="18"/>
        <v>41958</v>
      </c>
      <c r="O41" s="19">
        <f t="shared" si="18"/>
        <v>48150</v>
      </c>
      <c r="P41" s="19">
        <f t="shared" si="18"/>
        <v>48178</v>
      </c>
      <c r="S41" s="8" t="s">
        <v>105</v>
      </c>
      <c r="T41" s="11">
        <v>485</v>
      </c>
      <c r="U41" s="11">
        <v>393</v>
      </c>
      <c r="V41" s="11">
        <v>377</v>
      </c>
      <c r="W41" s="11">
        <v>718</v>
      </c>
      <c r="X41" s="11">
        <v>316</v>
      </c>
      <c r="Y41" s="11">
        <v>310</v>
      </c>
    </row>
    <row r="42" spans="1:25" x14ac:dyDescent="0.25">
      <c r="J42" s="18" t="s">
        <v>76</v>
      </c>
      <c r="K42" s="24">
        <f>+SUM(K27:K31)+K41</f>
        <v>63117</v>
      </c>
      <c r="L42" s="24">
        <f t="shared" ref="L42:P42" si="19">+SUM(L27:L31)+L41</f>
        <v>69206</v>
      </c>
      <c r="M42" s="24">
        <f t="shared" si="19"/>
        <v>72124</v>
      </c>
      <c r="N42" s="24">
        <f t="shared" si="19"/>
        <v>74898</v>
      </c>
      <c r="O42" s="24">
        <f t="shared" si="19"/>
        <v>81241</v>
      </c>
      <c r="P42" s="24">
        <f t="shared" si="19"/>
        <v>84186</v>
      </c>
      <c r="S42" s="8" t="s">
        <v>106</v>
      </c>
      <c r="T42" s="11">
        <v>1609</v>
      </c>
      <c r="U42" s="11">
        <v>2170</v>
      </c>
      <c r="V42" s="11">
        <v>2341</v>
      </c>
      <c r="W42" s="11">
        <v>2630</v>
      </c>
      <c r="X42" s="11">
        <v>2531</v>
      </c>
      <c r="Y42" s="11">
        <v>3483</v>
      </c>
    </row>
    <row r="43" spans="1:25" x14ac:dyDescent="0.25">
      <c r="J43" s="2" t="s">
        <v>33</v>
      </c>
      <c r="K43" s="2"/>
      <c r="M43" s="2"/>
    </row>
    <row r="46" spans="1:25" x14ac:dyDescent="0.25">
      <c r="B46" s="15" t="s">
        <v>35</v>
      </c>
      <c r="C46" s="15" t="s">
        <v>34</v>
      </c>
      <c r="D46" s="15" t="s">
        <v>31</v>
      </c>
      <c r="E46" s="15" t="s">
        <v>5</v>
      </c>
      <c r="F46" s="15" t="s">
        <v>4</v>
      </c>
      <c r="G46" s="15" t="s">
        <v>3</v>
      </c>
    </row>
    <row r="47" spans="1:25" x14ac:dyDescent="0.25">
      <c r="A47" t="s">
        <v>109</v>
      </c>
      <c r="B47" s="26"/>
      <c r="C47" s="26">
        <f>+C5/B5-1</f>
        <v>5.2947522753049814E-2</v>
      </c>
      <c r="D47" s="26">
        <f t="shared" ref="D47:G47" si="20">+D5/C5-1</f>
        <v>7.4350419042114479E-2</v>
      </c>
      <c r="E47" s="26">
        <f t="shared" si="20"/>
        <v>3.3868877313965706E-2</v>
      </c>
      <c r="F47" s="26">
        <f t="shared" si="20"/>
        <v>6.5353138748285078E-2</v>
      </c>
      <c r="G47" s="26">
        <f t="shared" si="20"/>
        <v>8.3745920383650363E-2</v>
      </c>
    </row>
    <row r="48" spans="1:25" x14ac:dyDescent="0.25">
      <c r="A48" t="s">
        <v>110</v>
      </c>
      <c r="B48" s="26"/>
      <c r="C48" s="26"/>
      <c r="D48" s="26"/>
      <c r="E48" s="26"/>
      <c r="F48" s="26"/>
      <c r="G48" s="26"/>
    </row>
    <row r="49" spans="1:7" x14ac:dyDescent="0.25">
      <c r="A49" t="s">
        <v>111</v>
      </c>
      <c r="B49" s="26">
        <f>+(B11*(1-B51))/B5</f>
        <v>0.10052495112208934</v>
      </c>
      <c r="C49" s="26">
        <f t="shared" ref="C49:G49" si="21">+(C11*(1-C51))/C5</f>
        <v>0.11500489758901658</v>
      </c>
      <c r="D49" s="26">
        <f t="shared" si="21"/>
        <v>0.12439099904528211</v>
      </c>
      <c r="E49" s="26">
        <f t="shared" si="21"/>
        <v>0.13974993197857197</v>
      </c>
      <c r="F49" s="26">
        <f t="shared" si="21"/>
        <v>0.14472884280392995</v>
      </c>
      <c r="G49" s="26">
        <f t="shared" si="21"/>
        <v>0.1545194429725425</v>
      </c>
    </row>
    <row r="50" spans="1:7" x14ac:dyDescent="0.25">
      <c r="A50" t="s">
        <v>112</v>
      </c>
      <c r="B50" s="26">
        <f>+B18/B5</f>
        <v>9.9836786633101887E-2</v>
      </c>
      <c r="C50" s="26">
        <f t="shared" ref="C50:G50" si="22">+C18/C5</f>
        <v>0.11331214039881249</v>
      </c>
      <c r="D50" s="26">
        <f t="shared" si="22"/>
        <v>0.12857946347785684</v>
      </c>
      <c r="E50" s="26">
        <f t="shared" si="22"/>
        <v>0.14600974502105113</v>
      </c>
      <c r="F50" s="26">
        <f t="shared" si="22"/>
        <v>0.14733243045225461</v>
      </c>
      <c r="G50" s="26">
        <f t="shared" si="22"/>
        <v>0.16397271218732715</v>
      </c>
    </row>
    <row r="51" spans="1:7" x14ac:dyDescent="0.25">
      <c r="A51" t="s">
        <v>120</v>
      </c>
      <c r="B51" s="26">
        <f>+-B17/B16</f>
        <v>0.36214209968186639</v>
      </c>
      <c r="C51" s="26">
        <f t="shared" ref="C51:G51" si="23">+-C17/C16</f>
        <v>0.3491776067602233</v>
      </c>
      <c r="D51" s="26">
        <f t="shared" si="23"/>
        <v>0.34626383190351862</v>
      </c>
      <c r="E51" s="26">
        <f t="shared" si="23"/>
        <v>0.33336933045356371</v>
      </c>
      <c r="F51" s="26">
        <f t="shared" si="23"/>
        <v>0.3101871101871102</v>
      </c>
      <c r="G51" s="26">
        <f t="shared" si="23"/>
        <v>0.34639882410583045</v>
      </c>
    </row>
    <row r="54" spans="1:7" x14ac:dyDescent="0.25">
      <c r="A54" t="s">
        <v>112</v>
      </c>
      <c r="B54" s="26">
        <f>+B50</f>
        <v>9.9836786633101887E-2</v>
      </c>
      <c r="C54" s="26">
        <f t="shared" ref="C54:G54" si="24">+C50</f>
        <v>0.11331214039881249</v>
      </c>
      <c r="D54" s="26">
        <f t="shared" si="24"/>
        <v>0.12857946347785684</v>
      </c>
      <c r="E54" s="26">
        <f t="shared" si="24"/>
        <v>0.14600974502105113</v>
      </c>
      <c r="F54" s="26">
        <f t="shared" si="24"/>
        <v>0.14733243045225461</v>
      </c>
      <c r="G54" s="26">
        <f t="shared" si="24"/>
        <v>0.16397271218732715</v>
      </c>
    </row>
    <row r="55" spans="1:7" x14ac:dyDescent="0.25">
      <c r="A55" t="s">
        <v>113</v>
      </c>
      <c r="B55" s="25">
        <f>+B5/K22</f>
        <v>0.57273000934771934</v>
      </c>
      <c r="C55" s="25">
        <f t="shared" ref="C55:G55" si="25">+C5/L22</f>
        <v>0.54999566511574138</v>
      </c>
      <c r="D55" s="25">
        <f t="shared" si="25"/>
        <v>0.56698186456657973</v>
      </c>
      <c r="E55" s="25">
        <f t="shared" si="25"/>
        <v>0.56447435178509442</v>
      </c>
      <c r="F55" s="25">
        <f t="shared" si="25"/>
        <v>0.55441218104159229</v>
      </c>
      <c r="G55" s="25">
        <f t="shared" si="25"/>
        <v>0.57982324852113176</v>
      </c>
    </row>
    <row r="56" spans="1:7" x14ac:dyDescent="0.25">
      <c r="A56" t="s">
        <v>114</v>
      </c>
      <c r="B56" s="25">
        <f>+K22/K41</f>
        <v>1.7817078334509526</v>
      </c>
      <c r="C56" s="25">
        <f t="shared" ref="C56:G56" si="26">+L22/L41</f>
        <v>1.7590869808347314</v>
      </c>
      <c r="D56" s="25">
        <f t="shared" si="26"/>
        <v>1.8280992573441817</v>
      </c>
      <c r="E56" s="25">
        <f t="shared" si="26"/>
        <v>1.785070785070785</v>
      </c>
      <c r="F56" s="25">
        <f t="shared" si="26"/>
        <v>1.6872481827622015</v>
      </c>
      <c r="G56" s="25">
        <f t="shared" si="26"/>
        <v>1.7473950765909751</v>
      </c>
    </row>
    <row r="57" spans="1:7" x14ac:dyDescent="0.25">
      <c r="A57" t="s">
        <v>121</v>
      </c>
      <c r="B57" s="26">
        <f>B18/K41</f>
        <v>0.1018772053634439</v>
      </c>
      <c r="C57" s="26">
        <f t="shared" ref="C57:G57" si="27">C18/L41</f>
        <v>0.10962838696558386</v>
      </c>
      <c r="D57" s="26">
        <f t="shared" si="27"/>
        <v>0.13327250145743036</v>
      </c>
      <c r="E57" s="26">
        <f t="shared" si="27"/>
        <v>0.14712331378998045</v>
      </c>
      <c r="F57" s="26">
        <f t="shared" si="27"/>
        <v>0.13781931464174454</v>
      </c>
      <c r="G57" s="26">
        <f t="shared" si="27"/>
        <v>0.16613392004649424</v>
      </c>
    </row>
    <row r="63" spans="1:7" x14ac:dyDescent="0.25">
      <c r="A63" t="str">
        <f>+S22</f>
        <v>Investments in parks, resorts and other property</v>
      </c>
      <c r="B63" s="27">
        <f>+-T22</f>
        <v>1753</v>
      </c>
      <c r="C63" s="27">
        <f t="shared" ref="C63:G63" si="28">+-U22</f>
        <v>2110</v>
      </c>
      <c r="D63" s="27">
        <f t="shared" si="28"/>
        <v>3559</v>
      </c>
      <c r="E63" s="27">
        <f t="shared" si="28"/>
        <v>3784</v>
      </c>
      <c r="F63" s="27">
        <f t="shared" si="28"/>
        <v>2796</v>
      </c>
      <c r="G63" s="27">
        <f t="shared" si="28"/>
        <v>3311</v>
      </c>
    </row>
    <row r="64" spans="1:7" x14ac:dyDescent="0.25">
      <c r="A64" t="str">
        <f>+S24</f>
        <v>Acquisitions</v>
      </c>
      <c r="B64" s="27">
        <f>+-T24</f>
        <v>176</v>
      </c>
      <c r="C64" s="27">
        <f t="shared" ref="C64:G64" si="29">+-U24</f>
        <v>2493</v>
      </c>
      <c r="D64" s="27">
        <f t="shared" si="29"/>
        <v>184</v>
      </c>
      <c r="E64" s="27">
        <f t="shared" si="29"/>
        <v>1088</v>
      </c>
      <c r="F64" s="27">
        <f t="shared" si="29"/>
        <v>2443</v>
      </c>
      <c r="G64" s="27">
        <f t="shared" si="29"/>
        <v>402</v>
      </c>
    </row>
    <row r="65" spans="1:7" x14ac:dyDescent="0.25">
      <c r="A65" t="s">
        <v>124</v>
      </c>
      <c r="B65" s="27">
        <f>+B63+B64</f>
        <v>1929</v>
      </c>
      <c r="C65" s="27">
        <f t="shared" ref="C65:G65" si="30">+C63+C64</f>
        <v>4603</v>
      </c>
      <c r="D65" s="27">
        <f t="shared" si="30"/>
        <v>3743</v>
      </c>
      <c r="E65" s="27">
        <f t="shared" si="30"/>
        <v>4872</v>
      </c>
      <c r="F65" s="27">
        <f t="shared" si="30"/>
        <v>5239</v>
      </c>
      <c r="G65" s="27">
        <f t="shared" si="30"/>
        <v>3713</v>
      </c>
    </row>
    <row r="66" spans="1:7" x14ac:dyDescent="0.25">
      <c r="A66" t="s">
        <v>123</v>
      </c>
      <c r="B66" s="27">
        <f>+B11*(1-B51)</f>
        <v>3633.8764581124074</v>
      </c>
      <c r="C66" s="27">
        <f t="shared" ref="C66:G66" si="31">+C11*(1-C51)</f>
        <v>4377.4314169307381</v>
      </c>
      <c r="D66" s="27">
        <f t="shared" si="31"/>
        <v>5086.7211239587214</v>
      </c>
      <c r="E66" s="27">
        <f t="shared" si="31"/>
        <v>5908.3476241900653</v>
      </c>
      <c r="F66" s="27">
        <f t="shared" si="31"/>
        <v>6518.731808731809</v>
      </c>
      <c r="G66" s="27">
        <f t="shared" si="31"/>
        <v>7542.5575698187167</v>
      </c>
    </row>
    <row r="67" spans="1:7" x14ac:dyDescent="0.25">
      <c r="A67" t="s">
        <v>12</v>
      </c>
      <c r="B67" s="27">
        <f>+T5</f>
        <v>1631</v>
      </c>
      <c r="C67" s="27">
        <f t="shared" ref="C67:G67" si="32">+U5</f>
        <v>1713</v>
      </c>
      <c r="D67" s="27">
        <f t="shared" si="32"/>
        <v>1841</v>
      </c>
      <c r="E67" s="27">
        <f t="shared" si="32"/>
        <v>1987</v>
      </c>
      <c r="F67" s="27">
        <f t="shared" si="32"/>
        <v>2192</v>
      </c>
      <c r="G67" s="27">
        <f t="shared" si="32"/>
        <v>2288</v>
      </c>
    </row>
    <row r="68" spans="1:7" x14ac:dyDescent="0.25">
      <c r="A68" t="s">
        <v>122</v>
      </c>
      <c r="B68" s="27">
        <f>+B66+B67</f>
        <v>5264.8764581124069</v>
      </c>
      <c r="C68" s="27">
        <f t="shared" ref="C68:G68" si="33">+C66+C67</f>
        <v>6090.4314169307381</v>
      </c>
      <c r="D68" s="27">
        <f t="shared" si="33"/>
        <v>6927.7211239587214</v>
      </c>
      <c r="E68" s="27">
        <f t="shared" si="33"/>
        <v>7895.3476241900653</v>
      </c>
      <c r="F68" s="27">
        <f t="shared" si="33"/>
        <v>8710.731808731809</v>
      </c>
      <c r="G68" s="27">
        <f t="shared" si="33"/>
        <v>9830.5575698187167</v>
      </c>
    </row>
    <row r="69" spans="1:7" x14ac:dyDescent="0.25">
      <c r="A69" t="s">
        <v>115</v>
      </c>
      <c r="B69" s="25">
        <f>+B65/B68</f>
        <v>0.36639036363857924</v>
      </c>
      <c r="C69" s="25">
        <f t="shared" ref="C69:G69" si="34">+C65/C68</f>
        <v>0.75577568892807157</v>
      </c>
      <c r="D69" s="25">
        <f t="shared" si="34"/>
        <v>0.54029311125923762</v>
      </c>
      <c r="E69" s="25">
        <f t="shared" si="34"/>
        <v>0.61707225975370383</v>
      </c>
      <c r="F69" s="25">
        <f t="shared" si="34"/>
        <v>0.60144200453380081</v>
      </c>
      <c r="G69" s="25">
        <f t="shared" si="34"/>
        <v>0.37769983784027328</v>
      </c>
    </row>
    <row r="70" spans="1:7" x14ac:dyDescent="0.25">
      <c r="A70" t="s">
        <v>116</v>
      </c>
      <c r="B70" s="25">
        <f>+K20/K22</f>
        <v>0.34353660661945279</v>
      </c>
      <c r="C70" s="25">
        <f t="shared" ref="C70:G70" si="35">+L20/L22</f>
        <v>0.34823570210675375</v>
      </c>
      <c r="D70" s="25">
        <f t="shared" si="35"/>
        <v>0.33477067273029781</v>
      </c>
      <c r="E70" s="25">
        <f t="shared" si="35"/>
        <v>0.33525594808940157</v>
      </c>
      <c r="F70" s="25">
        <f t="shared" si="35"/>
        <v>0.33633263992319151</v>
      </c>
      <c r="G70" s="25">
        <f t="shared" si="35"/>
        <v>0.3311833321454874</v>
      </c>
    </row>
    <row r="71" spans="1:7" x14ac:dyDescent="0.25">
      <c r="A71" t="s">
        <v>117</v>
      </c>
      <c r="B71" s="27">
        <f>+-T31</f>
        <v>648</v>
      </c>
      <c r="C71" s="27">
        <f t="shared" ref="C71:G71" si="36">+-U31</f>
        <v>653</v>
      </c>
      <c r="D71" s="27">
        <f t="shared" si="36"/>
        <v>756</v>
      </c>
      <c r="E71" s="27">
        <f t="shared" si="36"/>
        <v>1076</v>
      </c>
      <c r="F71" s="27">
        <f t="shared" si="36"/>
        <v>1324</v>
      </c>
      <c r="G71" s="27">
        <f t="shared" si="36"/>
        <v>1508</v>
      </c>
    </row>
    <row r="72" spans="1:7" x14ac:dyDescent="0.25">
      <c r="A72" t="s">
        <v>118</v>
      </c>
      <c r="B72" s="27">
        <f>+-T32</f>
        <v>138</v>
      </c>
      <c r="C72" s="27">
        <f t="shared" ref="C72:G72" si="37">+-U32</f>
        <v>2669</v>
      </c>
      <c r="D72" s="27">
        <f t="shared" si="37"/>
        <v>4993</v>
      </c>
      <c r="E72" s="27">
        <f t="shared" si="37"/>
        <v>3015</v>
      </c>
      <c r="F72" s="27">
        <f t="shared" si="37"/>
        <v>4087</v>
      </c>
      <c r="G72" s="27">
        <f t="shared" si="37"/>
        <v>6527</v>
      </c>
    </row>
  </sheetData>
  <mergeCells count="2">
    <mergeCell ref="B1:G1"/>
    <mergeCell ref="T1:Y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1"/>
  <sheetViews>
    <sheetView tabSelected="1" topLeftCell="H46" zoomScaleNormal="100" workbookViewId="0">
      <selection activeCell="J47" sqref="J47:L47"/>
    </sheetView>
  </sheetViews>
  <sheetFormatPr defaultRowHeight="12.75" x14ac:dyDescent="0.2"/>
  <cols>
    <col min="1" max="1" width="36.5703125" style="53" bestFit="1" customWidth="1"/>
    <col min="2" max="7" width="14.5703125" style="53" customWidth="1"/>
    <col min="8" max="8" width="10" style="77" customWidth="1"/>
    <col min="9" max="11" width="10" style="69" customWidth="1"/>
    <col min="12" max="12" width="10.42578125" style="69" customWidth="1"/>
    <col min="13" max="13" width="10" style="78" customWidth="1"/>
    <col min="14" max="14" width="9.140625" style="53"/>
    <col min="15" max="15" width="36.5703125" style="53" bestFit="1" customWidth="1"/>
    <col min="16" max="21" width="14.42578125" style="53" customWidth="1"/>
    <col min="22" max="23" width="9.140625" style="53"/>
    <col min="24" max="24" width="36.5703125" style="53" bestFit="1" customWidth="1"/>
    <col min="25" max="27" width="12" style="53" bestFit="1" customWidth="1"/>
    <col min="28" max="30" width="12.28515625" style="53" bestFit="1" customWidth="1"/>
    <col min="31" max="16384" width="9.140625" style="53"/>
  </cols>
  <sheetData>
    <row r="1" spans="1:30" ht="25.5" x14ac:dyDescent="0.2">
      <c r="A1" s="54" t="s">
        <v>0</v>
      </c>
      <c r="B1" s="155" t="s">
        <v>1</v>
      </c>
      <c r="C1" s="155"/>
      <c r="D1" s="155"/>
      <c r="E1" s="155"/>
      <c r="F1" s="155"/>
      <c r="G1" s="156"/>
      <c r="O1" s="54" t="s">
        <v>36</v>
      </c>
      <c r="P1" s="54" t="s">
        <v>35</v>
      </c>
      <c r="Q1" s="54" t="s">
        <v>34</v>
      </c>
      <c r="R1" s="54" t="s">
        <v>31</v>
      </c>
      <c r="S1" s="54" t="s">
        <v>5</v>
      </c>
      <c r="T1" s="114" t="s">
        <v>4</v>
      </c>
      <c r="U1" s="114" t="s">
        <v>3</v>
      </c>
      <c r="X1" s="54" t="s">
        <v>78</v>
      </c>
      <c r="Y1" s="153" t="s">
        <v>1</v>
      </c>
      <c r="Z1" s="153"/>
      <c r="AA1" s="153"/>
      <c r="AB1" s="153"/>
      <c r="AC1" s="153"/>
      <c r="AD1" s="153"/>
    </row>
    <row r="2" spans="1:30" ht="25.5" x14ac:dyDescent="0.25">
      <c r="A2" s="54" t="s">
        <v>2</v>
      </c>
      <c r="B2" s="55" t="s">
        <v>35</v>
      </c>
      <c r="C2" s="55" t="s">
        <v>34</v>
      </c>
      <c r="D2" s="55" t="s">
        <v>31</v>
      </c>
      <c r="E2" s="55" t="s">
        <v>5</v>
      </c>
      <c r="F2" s="55" t="s">
        <v>4</v>
      </c>
      <c r="G2" s="55" t="s">
        <v>3</v>
      </c>
      <c r="H2" s="79" t="s">
        <v>136</v>
      </c>
      <c r="I2" s="80" t="s">
        <v>137</v>
      </c>
      <c r="J2" s="80" t="s">
        <v>138</v>
      </c>
      <c r="K2" s="80" t="s">
        <v>140</v>
      </c>
      <c r="L2" s="80" t="s">
        <v>139</v>
      </c>
      <c r="O2" s="54" t="s">
        <v>37</v>
      </c>
      <c r="P2" s="54"/>
      <c r="Q2" s="54"/>
      <c r="R2" s="54"/>
      <c r="U2" s="114"/>
      <c r="X2" s="54" t="s">
        <v>37</v>
      </c>
      <c r="Y2" s="54" t="s">
        <v>35</v>
      </c>
      <c r="Z2" s="54" t="s">
        <v>34</v>
      </c>
      <c r="AA2" s="54" t="s">
        <v>31</v>
      </c>
      <c r="AB2" s="54" t="s">
        <v>5</v>
      </c>
      <c r="AC2" s="54" t="s">
        <v>4</v>
      </c>
      <c r="AD2" s="54" t="s">
        <v>3</v>
      </c>
    </row>
    <row r="3" spans="1:30" x14ac:dyDescent="0.2">
      <c r="A3" s="81" t="s">
        <v>125</v>
      </c>
      <c r="B3" s="82">
        <v>16209</v>
      </c>
      <c r="C3" s="83">
        <v>17162</v>
      </c>
      <c r="D3" s="83">
        <v>18714</v>
      </c>
      <c r="E3" s="83">
        <v>19436</v>
      </c>
      <c r="F3" s="83">
        <v>20356</v>
      </c>
      <c r="G3" s="83">
        <v>21152</v>
      </c>
      <c r="H3" s="77">
        <f>+G3*(1+H4)</f>
        <v>21786.560000000001</v>
      </c>
      <c r="I3" s="69">
        <f t="shared" ref="I3:L3" si="0">+H3*(1+I4)</f>
        <v>22167.824800000002</v>
      </c>
      <c r="J3" s="69">
        <f t="shared" si="0"/>
        <v>22555.761734000003</v>
      </c>
      <c r="K3" s="69">
        <f t="shared" si="0"/>
        <v>22950.487564345003</v>
      </c>
      <c r="L3" s="69">
        <f t="shared" si="0"/>
        <v>23352.121096721043</v>
      </c>
      <c r="O3" s="56" t="s">
        <v>38</v>
      </c>
      <c r="P3" s="68"/>
      <c r="Q3" s="68"/>
      <c r="R3" s="68"/>
      <c r="S3" s="68" t="s">
        <v>24</v>
      </c>
      <c r="T3" s="68" t="s">
        <v>24</v>
      </c>
      <c r="U3" s="68" t="s">
        <v>24</v>
      </c>
      <c r="X3" s="56" t="s">
        <v>79</v>
      </c>
      <c r="Y3" s="68"/>
      <c r="Z3" s="68"/>
      <c r="AA3" s="68" t="s">
        <v>24</v>
      </c>
      <c r="AB3" s="68" t="s">
        <v>24</v>
      </c>
      <c r="AC3" s="68" t="s">
        <v>24</v>
      </c>
      <c r="AD3" s="68" t="s">
        <v>24</v>
      </c>
    </row>
    <row r="4" spans="1:30" s="65" customFormat="1" x14ac:dyDescent="0.2">
      <c r="A4" s="84" t="s">
        <v>131</v>
      </c>
      <c r="B4" s="85"/>
      <c r="C4" s="86">
        <f>+C3/B3-1</f>
        <v>5.8794496884446934E-2</v>
      </c>
      <c r="D4" s="86">
        <f t="shared" ref="D4:G4" si="1">+D3/C3-1</f>
        <v>9.0432350541894913E-2</v>
      </c>
      <c r="E4" s="86">
        <f t="shared" si="1"/>
        <v>3.8580741690712905E-2</v>
      </c>
      <c r="F4" s="86">
        <f t="shared" si="1"/>
        <v>4.7334842560197599E-2</v>
      </c>
      <c r="G4" s="86">
        <f t="shared" si="1"/>
        <v>3.9103949695421525E-2</v>
      </c>
      <c r="H4" s="87">
        <v>0.03</v>
      </c>
      <c r="I4" s="72">
        <v>1.7500000000000002E-2</v>
      </c>
      <c r="J4" s="72">
        <v>1.7500000000000002E-2</v>
      </c>
      <c r="K4" s="72">
        <v>1.7500000000000002E-2</v>
      </c>
      <c r="L4" s="72">
        <v>1.7500000000000002E-2</v>
      </c>
      <c r="M4" s="60"/>
      <c r="O4" s="94" t="s">
        <v>39</v>
      </c>
      <c r="P4" s="115">
        <v>3417</v>
      </c>
      <c r="Q4" s="115">
        <v>2722</v>
      </c>
      <c r="R4" s="115">
        <v>3185</v>
      </c>
      <c r="S4" s="115">
        <v>3387</v>
      </c>
      <c r="T4" s="115">
        <v>3931</v>
      </c>
      <c r="U4" s="115">
        <v>3421</v>
      </c>
      <c r="X4" s="94" t="s">
        <v>32</v>
      </c>
      <c r="Y4" s="113">
        <v>3609</v>
      </c>
      <c r="Z4" s="113">
        <v>4313</v>
      </c>
      <c r="AA4" s="113">
        <v>5258</v>
      </c>
      <c r="AB4" s="113">
        <v>6173</v>
      </c>
      <c r="AC4" s="113">
        <v>6636</v>
      </c>
      <c r="AD4" s="113">
        <v>8004</v>
      </c>
    </row>
    <row r="5" spans="1:30" x14ac:dyDescent="0.2">
      <c r="A5" s="81" t="s">
        <v>126</v>
      </c>
      <c r="B5" s="88">
        <v>10667</v>
      </c>
      <c r="C5" s="88">
        <v>10761</v>
      </c>
      <c r="D5" s="83">
        <v>11797</v>
      </c>
      <c r="E5" s="83">
        <v>12920</v>
      </c>
      <c r="F5" s="83">
        <v>14087</v>
      </c>
      <c r="G5" s="83">
        <v>15099</v>
      </c>
      <c r="H5" s="77">
        <f>+G5*(1+H6)</f>
        <v>16608.900000000001</v>
      </c>
      <c r="I5" s="69">
        <f t="shared" ref="I5" si="2">+H5*(1+I6)</f>
        <v>18269.790000000005</v>
      </c>
      <c r="J5" s="69">
        <f t="shared" ref="J5" si="3">+I5*(1+J6)</f>
        <v>19548.675300000006</v>
      </c>
      <c r="K5" s="69">
        <f t="shared" ref="K5" si="4">+J5*(1+K6)</f>
        <v>20917.082571000006</v>
      </c>
      <c r="L5" s="69">
        <f t="shared" ref="L5" si="5">+K5*(1+L6)</f>
        <v>22381.278350970009</v>
      </c>
      <c r="O5" s="94" t="s">
        <v>40</v>
      </c>
      <c r="P5" s="115">
        <v>4854</v>
      </c>
      <c r="Q5" s="115">
        <v>5784</v>
      </c>
      <c r="R5" s="115">
        <v>6182</v>
      </c>
      <c r="S5" s="115">
        <v>6540</v>
      </c>
      <c r="T5" s="115">
        <v>6967</v>
      </c>
      <c r="U5" s="115">
        <v>7822</v>
      </c>
      <c r="X5" s="94" t="s">
        <v>12</v>
      </c>
      <c r="Y5" s="113">
        <v>1631</v>
      </c>
      <c r="Z5" s="113">
        <v>1713</v>
      </c>
      <c r="AA5" s="113">
        <v>1841</v>
      </c>
      <c r="AB5" s="113">
        <v>1987</v>
      </c>
      <c r="AC5" s="113">
        <v>2192</v>
      </c>
      <c r="AD5" s="113">
        <v>2288</v>
      </c>
    </row>
    <row r="6" spans="1:30" s="65" customFormat="1" ht="25.5" x14ac:dyDescent="0.2">
      <c r="A6" s="84" t="s">
        <v>131</v>
      </c>
      <c r="B6" s="89"/>
      <c r="C6" s="86">
        <f>+C5/B5-1</f>
        <v>8.8122246179807018E-3</v>
      </c>
      <c r="D6" s="86">
        <f t="shared" ref="D6" si="6">+D5/C5-1</f>
        <v>9.6273580522256319E-2</v>
      </c>
      <c r="E6" s="86">
        <f t="shared" ref="E6" si="7">+E5/D5-1</f>
        <v>9.5193693311858896E-2</v>
      </c>
      <c r="F6" s="86">
        <f t="shared" ref="F6" si="8">+F5/E5-1</f>
        <v>9.0325077399380893E-2</v>
      </c>
      <c r="G6" s="86">
        <f t="shared" ref="G6" si="9">+G5/F5-1</f>
        <v>7.1839284446652885E-2</v>
      </c>
      <c r="H6" s="87">
        <v>0.1</v>
      </c>
      <c r="I6" s="72">
        <v>0.1</v>
      </c>
      <c r="J6" s="72">
        <v>7.0000000000000007E-2</v>
      </c>
      <c r="K6" s="72">
        <v>7.0000000000000007E-2</v>
      </c>
      <c r="L6" s="72">
        <v>7.0000000000000007E-2</v>
      </c>
      <c r="M6" s="60"/>
      <c r="O6" s="94" t="s">
        <v>41</v>
      </c>
      <c r="P6" s="115">
        <v>1271</v>
      </c>
      <c r="Q6" s="115">
        <v>1442</v>
      </c>
      <c r="R6" s="115">
        <v>1595</v>
      </c>
      <c r="S6" s="115">
        <v>1537</v>
      </c>
      <c r="T6" s="115">
        <v>1487</v>
      </c>
      <c r="U6" s="115">
        <v>1574</v>
      </c>
      <c r="X6" s="94" t="s">
        <v>80</v>
      </c>
      <c r="Y6" s="113">
        <v>-342</v>
      </c>
      <c r="Z6" s="113">
        <v>-118</v>
      </c>
      <c r="AA6" s="113">
        <v>-75</v>
      </c>
      <c r="AB6" s="113">
        <v>-198</v>
      </c>
      <c r="AC6" s="113">
        <v>-325</v>
      </c>
      <c r="AD6" s="113">
        <v>-299</v>
      </c>
    </row>
    <row r="7" spans="1:30" x14ac:dyDescent="0.2">
      <c r="A7" s="90" t="s">
        <v>127</v>
      </c>
      <c r="B7" s="88">
        <v>6136</v>
      </c>
      <c r="C7" s="88">
        <v>6701</v>
      </c>
      <c r="D7" s="83">
        <v>6351</v>
      </c>
      <c r="E7" s="83">
        <v>5825</v>
      </c>
      <c r="F7" s="83">
        <v>5979</v>
      </c>
      <c r="G7" s="83">
        <v>7278</v>
      </c>
      <c r="H7" s="77">
        <f>+G7*(1+H8)</f>
        <v>9097.5</v>
      </c>
      <c r="I7" s="69">
        <f t="shared" ref="I7" si="10">+H7*(1+I8)</f>
        <v>11826.75</v>
      </c>
      <c r="J7" s="69">
        <f t="shared" ref="J7" si="11">+I7*(1+J8)</f>
        <v>12418.0875</v>
      </c>
      <c r="K7" s="69">
        <f t="shared" ref="K7" si="12">+J7*(1+K8)</f>
        <v>13038.991875</v>
      </c>
      <c r="L7" s="69">
        <f t="shared" ref="L7" si="13">+K7*(1+L8)</f>
        <v>13690.941468750001</v>
      </c>
      <c r="O7" s="94" t="s">
        <v>42</v>
      </c>
      <c r="P7" s="115">
        <v>631</v>
      </c>
      <c r="Q7" s="115">
        <v>678</v>
      </c>
      <c r="R7" s="115">
        <v>674</v>
      </c>
      <c r="S7" s="115">
        <v>676</v>
      </c>
      <c r="T7" s="115">
        <v>634</v>
      </c>
      <c r="U7" s="115">
        <v>1061</v>
      </c>
      <c r="X7" s="94" t="s">
        <v>43</v>
      </c>
      <c r="Y7" s="113">
        <v>323</v>
      </c>
      <c r="Z7" s="113">
        <v>133</v>
      </c>
      <c r="AA7" s="113">
        <v>127</v>
      </c>
      <c r="AB7" s="113">
        <v>472</v>
      </c>
      <c r="AC7" s="113">
        <v>92</v>
      </c>
      <c r="AD7" s="113">
        <v>517</v>
      </c>
    </row>
    <row r="8" spans="1:30" s="65" customFormat="1" x14ac:dyDescent="0.2">
      <c r="A8" s="84" t="s">
        <v>131</v>
      </c>
      <c r="B8" s="89"/>
      <c r="C8" s="86">
        <f>+C7/B7-1</f>
        <v>9.2079530638852658E-2</v>
      </c>
      <c r="D8" s="86">
        <f t="shared" ref="D8" si="14">+D7/C7-1</f>
        <v>-5.2231010296970637E-2</v>
      </c>
      <c r="E8" s="86">
        <f t="shared" ref="E8" si="15">+E7/D7-1</f>
        <v>-8.2821602897181545E-2</v>
      </c>
      <c r="F8" s="86">
        <f t="shared" ref="F8" si="16">+F7/E7-1</f>
        <v>2.6437768240343384E-2</v>
      </c>
      <c r="G8" s="86">
        <f t="shared" ref="G8" si="17">+G7/F7-1</f>
        <v>0.21726041144004005</v>
      </c>
      <c r="H8" s="87">
        <v>0.25</v>
      </c>
      <c r="I8" s="72">
        <v>0.3</v>
      </c>
      <c r="J8" s="72">
        <v>0.05</v>
      </c>
      <c r="K8" s="72">
        <v>0.05</v>
      </c>
      <c r="L8" s="72">
        <v>0.05</v>
      </c>
      <c r="M8" s="60"/>
      <c r="O8" s="94" t="s">
        <v>43</v>
      </c>
      <c r="P8" s="115">
        <v>1140</v>
      </c>
      <c r="Q8" s="115">
        <v>1018</v>
      </c>
      <c r="R8" s="115">
        <v>1487</v>
      </c>
      <c r="S8" s="115">
        <v>765</v>
      </c>
      <c r="T8" s="115">
        <v>485</v>
      </c>
      <c r="U8" s="115">
        <v>497</v>
      </c>
      <c r="X8" s="94" t="s">
        <v>17</v>
      </c>
      <c r="Y8" s="113">
        <v>-577</v>
      </c>
      <c r="Z8" s="113">
        <v>-440</v>
      </c>
      <c r="AA8" s="113">
        <v>-585</v>
      </c>
      <c r="AB8" s="113">
        <v>-627</v>
      </c>
      <c r="AC8" s="113">
        <v>-688</v>
      </c>
      <c r="AD8" s="113">
        <v>-854</v>
      </c>
    </row>
    <row r="9" spans="1:30" ht="25.5" x14ac:dyDescent="0.2">
      <c r="A9" s="90" t="s">
        <v>128</v>
      </c>
      <c r="B9" s="88">
        <v>2425</v>
      </c>
      <c r="C9" s="88">
        <v>2678</v>
      </c>
      <c r="D9" s="83">
        <v>3049</v>
      </c>
      <c r="E9" s="83">
        <v>3252</v>
      </c>
      <c r="F9" s="83">
        <v>3555</v>
      </c>
      <c r="G9" s="83">
        <v>3985</v>
      </c>
      <c r="H9" s="77">
        <f>+G9*(1+H10)</f>
        <v>4383.5</v>
      </c>
      <c r="I9" s="69">
        <f t="shared" ref="I9" si="18">+H9*(1+I10)</f>
        <v>4821.8500000000004</v>
      </c>
      <c r="J9" s="69">
        <f t="shared" ref="J9" si="19">+I9*(1+J10)</f>
        <v>5304.0350000000008</v>
      </c>
      <c r="K9" s="69">
        <f t="shared" ref="K9" si="20">+J9*(1+K10)</f>
        <v>5834.4385000000011</v>
      </c>
      <c r="L9" s="69">
        <f t="shared" ref="L9" si="21">+K9*(1+L10)</f>
        <v>6417.8823500000017</v>
      </c>
      <c r="O9" s="94" t="s">
        <v>44</v>
      </c>
      <c r="P9" s="115">
        <v>576</v>
      </c>
      <c r="Q9" s="115">
        <v>581</v>
      </c>
      <c r="R9" s="115">
        <v>634</v>
      </c>
      <c r="S9" s="115">
        <v>804</v>
      </c>
      <c r="T9" s="115">
        <v>605</v>
      </c>
      <c r="U9" s="115">
        <v>801</v>
      </c>
      <c r="X9" s="94" t="s">
        <v>81</v>
      </c>
      <c r="Y9" s="113">
        <v>505</v>
      </c>
      <c r="Z9" s="113">
        <v>473</v>
      </c>
      <c r="AA9" s="113">
        <v>608</v>
      </c>
      <c r="AB9" s="113">
        <v>663</v>
      </c>
      <c r="AC9" s="113">
        <v>694</v>
      </c>
      <c r="AD9" s="113">
        <v>718</v>
      </c>
    </row>
    <row r="10" spans="1:30" s="65" customFormat="1" ht="25.5" x14ac:dyDescent="0.2">
      <c r="A10" s="84" t="s">
        <v>131</v>
      </c>
      <c r="B10" s="89"/>
      <c r="C10" s="86">
        <f>+C9/B9-1</f>
        <v>0.10432989690721639</v>
      </c>
      <c r="D10" s="86">
        <f t="shared" ref="D10" si="22">+D9/C9-1</f>
        <v>0.13853622106049301</v>
      </c>
      <c r="E10" s="86">
        <f t="shared" ref="E10" si="23">+E9/D9-1</f>
        <v>6.6579206297146643E-2</v>
      </c>
      <c r="F10" s="86">
        <f t="shared" ref="F10" si="24">+F9/E9-1</f>
        <v>9.3173431734317358E-2</v>
      </c>
      <c r="G10" s="86">
        <f t="shared" ref="G10" si="25">+G9/F9-1</f>
        <v>0.1209563994374121</v>
      </c>
      <c r="H10" s="87">
        <v>0.1</v>
      </c>
      <c r="I10" s="72">
        <v>0.1</v>
      </c>
      <c r="J10" s="72">
        <v>0.1</v>
      </c>
      <c r="K10" s="72">
        <v>0.1</v>
      </c>
      <c r="L10" s="72">
        <v>0.1</v>
      </c>
      <c r="M10" s="60"/>
      <c r="O10" s="57" t="s">
        <v>45</v>
      </c>
      <c r="P10" s="116">
        <f>SUM(P4:P9)</f>
        <v>11889</v>
      </c>
      <c r="Q10" s="116">
        <f t="shared" ref="Q10:U10" si="26">SUM(Q4:Q9)</f>
        <v>12225</v>
      </c>
      <c r="R10" s="116">
        <f t="shared" si="26"/>
        <v>13757</v>
      </c>
      <c r="S10" s="116">
        <f t="shared" si="26"/>
        <v>13709</v>
      </c>
      <c r="T10" s="116">
        <f t="shared" si="26"/>
        <v>14109</v>
      </c>
      <c r="U10" s="116">
        <f t="shared" si="26"/>
        <v>15176</v>
      </c>
      <c r="X10" s="94" t="s">
        <v>82</v>
      </c>
      <c r="Y10" s="113">
        <v>-43</v>
      </c>
      <c r="Z10" s="113">
        <v>238</v>
      </c>
      <c r="AA10" s="113">
        <v>332</v>
      </c>
      <c r="AB10" s="113">
        <v>-52</v>
      </c>
      <c r="AC10" s="113">
        <v>-49</v>
      </c>
      <c r="AD10" s="113">
        <v>-964</v>
      </c>
    </row>
    <row r="11" spans="1:30" x14ac:dyDescent="0.2">
      <c r="A11" s="90" t="s">
        <v>129</v>
      </c>
      <c r="B11" s="88">
        <v>712</v>
      </c>
      <c r="C11" s="88">
        <v>761</v>
      </c>
      <c r="D11" s="88">
        <v>982</v>
      </c>
      <c r="E11" s="88">
        <v>845</v>
      </c>
      <c r="F11" s="83">
        <v>1064</v>
      </c>
      <c r="G11" s="83">
        <v>1300</v>
      </c>
      <c r="H11" s="77">
        <f>+G11*(1+H12)</f>
        <v>1494.9999999999998</v>
      </c>
      <c r="I11" s="69">
        <f t="shared" ref="I11" si="27">+H11*(1+I12)</f>
        <v>1719.2499999999995</v>
      </c>
      <c r="J11" s="69">
        <f t="shared" ref="J11" si="28">+I11*(1+J12)</f>
        <v>1977.1374999999994</v>
      </c>
      <c r="K11" s="69">
        <f t="shared" ref="K11" si="29">+J11*(1+K12)</f>
        <v>2273.7081249999992</v>
      </c>
      <c r="L11" s="69">
        <f t="shared" ref="L11" si="30">+K11*(1+L12)</f>
        <v>2614.7643437499987</v>
      </c>
      <c r="O11" s="94" t="s">
        <v>46</v>
      </c>
      <c r="P11" s="115">
        <v>5125</v>
      </c>
      <c r="Q11" s="115">
        <v>4773</v>
      </c>
      <c r="R11" s="115">
        <v>4357</v>
      </c>
      <c r="S11" s="115">
        <v>4541</v>
      </c>
      <c r="T11" s="115">
        <v>4783</v>
      </c>
      <c r="U11" s="115">
        <v>5325</v>
      </c>
      <c r="X11" s="94" t="s">
        <v>83</v>
      </c>
      <c r="Y11" s="113">
        <v>361</v>
      </c>
      <c r="Z11" s="113">
        <v>391</v>
      </c>
      <c r="AA11" s="113">
        <v>423</v>
      </c>
      <c r="AB11" s="113">
        <v>408</v>
      </c>
      <c r="AC11" s="113">
        <v>402</v>
      </c>
      <c r="AD11" s="113">
        <v>408</v>
      </c>
    </row>
    <row r="12" spans="1:30" x14ac:dyDescent="0.2">
      <c r="A12" s="84" t="s">
        <v>131</v>
      </c>
      <c r="B12" s="89"/>
      <c r="C12" s="86">
        <f>+C11/B11-1</f>
        <v>6.8820224719101208E-2</v>
      </c>
      <c r="D12" s="86">
        <f t="shared" ref="D12" si="31">+D11/C11-1</f>
        <v>0.29040735873850188</v>
      </c>
      <c r="E12" s="86">
        <f t="shared" ref="E12" si="32">+E11/D11-1</f>
        <v>-0.13951120162932795</v>
      </c>
      <c r="F12" s="86">
        <f t="shared" ref="F12" si="33">+F11/E11-1</f>
        <v>0.25917159763313613</v>
      </c>
      <c r="G12" s="86">
        <f t="shared" ref="G12" si="34">+G11/F11-1</f>
        <v>0.22180451127819545</v>
      </c>
      <c r="H12" s="87">
        <v>0.15</v>
      </c>
      <c r="I12" s="72">
        <v>0.15</v>
      </c>
      <c r="J12" s="72">
        <v>0.15</v>
      </c>
      <c r="K12" s="72">
        <v>0.15</v>
      </c>
      <c r="L12" s="72">
        <v>0.15</v>
      </c>
      <c r="O12" s="94" t="s">
        <v>47</v>
      </c>
      <c r="P12" s="115">
        <v>2554</v>
      </c>
      <c r="Q12" s="115">
        <v>2513</v>
      </c>
      <c r="R12" s="115">
        <v>2435</v>
      </c>
      <c r="S12" s="115">
        <v>2723</v>
      </c>
      <c r="T12" s="115">
        <v>2849</v>
      </c>
      <c r="U12" s="115">
        <v>2696</v>
      </c>
      <c r="X12" s="94" t="s">
        <v>107</v>
      </c>
      <c r="Y12" s="113">
        <v>279</v>
      </c>
      <c r="Z12" s="113">
        <v>132</v>
      </c>
      <c r="AA12" s="113"/>
      <c r="AB12" s="113"/>
      <c r="AC12" s="113"/>
      <c r="AD12" s="113"/>
    </row>
    <row r="13" spans="1:30" ht="25.5" x14ac:dyDescent="0.2">
      <c r="A13" s="57" t="s">
        <v>8</v>
      </c>
      <c r="B13" s="58">
        <f>SUM(B3,B5,B7,B9,B11)</f>
        <v>36149</v>
      </c>
      <c r="C13" s="58">
        <f t="shared" ref="C13:L13" si="35">SUM(C3,C5,C7,C9,C11)</f>
        <v>38063</v>
      </c>
      <c r="D13" s="58">
        <f t="shared" si="35"/>
        <v>40893</v>
      </c>
      <c r="E13" s="58">
        <f t="shared" si="35"/>
        <v>42278</v>
      </c>
      <c r="F13" s="58">
        <f t="shared" si="35"/>
        <v>45041</v>
      </c>
      <c r="G13" s="58">
        <f t="shared" si="35"/>
        <v>48814</v>
      </c>
      <c r="H13" s="91">
        <f t="shared" si="35"/>
        <v>53371.460000000006</v>
      </c>
      <c r="I13" s="66">
        <f t="shared" si="35"/>
        <v>58805.464800000009</v>
      </c>
      <c r="J13" s="66">
        <f t="shared" si="35"/>
        <v>61803.697034000012</v>
      </c>
      <c r="K13" s="66">
        <f t="shared" si="35"/>
        <v>65014.708635345014</v>
      </c>
      <c r="L13" s="66">
        <f t="shared" si="35"/>
        <v>68456.987610191049</v>
      </c>
      <c r="O13" s="117" t="s">
        <v>48</v>
      </c>
      <c r="P13" s="118">
        <v>32475</v>
      </c>
      <c r="Q13" s="118">
        <v>32875</v>
      </c>
      <c r="R13" s="118">
        <v>35515</v>
      </c>
      <c r="S13" s="118">
        <v>38582</v>
      </c>
      <c r="T13" s="118">
        <v>41192</v>
      </c>
      <c r="U13" s="118">
        <v>42263</v>
      </c>
      <c r="X13" s="94" t="s">
        <v>84</v>
      </c>
      <c r="Y13" s="113">
        <v>29</v>
      </c>
      <c r="Z13" s="113">
        <v>9</v>
      </c>
      <c r="AA13" s="113">
        <v>204</v>
      </c>
      <c r="AB13" s="113">
        <v>231</v>
      </c>
      <c r="AC13" s="113">
        <v>395</v>
      </c>
      <c r="AD13" s="113">
        <v>234</v>
      </c>
    </row>
    <row r="14" spans="1:30" s="65" customFormat="1" x14ac:dyDescent="0.2">
      <c r="A14" s="84" t="s">
        <v>131</v>
      </c>
      <c r="B14" s="64"/>
      <c r="C14" s="86">
        <f>+C13/B13-1</f>
        <v>5.2947522753049814E-2</v>
      </c>
      <c r="D14" s="86">
        <f t="shared" ref="D14" si="36">+D13/C13-1</f>
        <v>7.4350419042114479E-2</v>
      </c>
      <c r="E14" s="86">
        <f t="shared" ref="E14" si="37">+E13/D13-1</f>
        <v>3.3868877313965706E-2</v>
      </c>
      <c r="F14" s="86">
        <f t="shared" ref="F14" si="38">+F13/E13-1</f>
        <v>6.5353138748285078E-2</v>
      </c>
      <c r="G14" s="86">
        <f t="shared" ref="G14" si="39">+G13/F13-1</f>
        <v>8.3768122377389398E-2</v>
      </c>
      <c r="H14" s="92">
        <f t="shared" ref="H14" si="40">+H13/G13-1</f>
        <v>9.3363789076904347E-2</v>
      </c>
      <c r="I14" s="93">
        <f t="shared" ref="I14" si="41">+I13/H13-1</f>
        <v>0.10181480514117469</v>
      </c>
      <c r="J14" s="93">
        <f t="shared" ref="J14" si="42">+J13/I13-1</f>
        <v>5.0985605575895487E-2</v>
      </c>
      <c r="K14" s="93">
        <f t="shared" ref="K14" si="43">+K13/J13-1</f>
        <v>5.1955008445182971E-2</v>
      </c>
      <c r="L14" s="93">
        <f t="shared" ref="L14" si="44">+L13/K13-1</f>
        <v>5.2946157063521015E-2</v>
      </c>
      <c r="M14" s="60"/>
      <c r="O14" s="117" t="s">
        <v>49</v>
      </c>
      <c r="P14" s="118">
        <v>-17395</v>
      </c>
      <c r="Q14" s="118">
        <v>-18373</v>
      </c>
      <c r="R14" s="118">
        <v>-19572</v>
      </c>
      <c r="S14" s="118">
        <v>-20687</v>
      </c>
      <c r="T14" s="118">
        <v>-22459</v>
      </c>
      <c r="U14" s="118">
        <v>-23722</v>
      </c>
      <c r="X14" s="56" t="s">
        <v>85</v>
      </c>
      <c r="Y14" s="73"/>
      <c r="Z14" s="73"/>
      <c r="AA14" s="73" t="s">
        <v>24</v>
      </c>
      <c r="AB14" s="73" t="s">
        <v>24</v>
      </c>
      <c r="AC14" s="73" t="s">
        <v>24</v>
      </c>
      <c r="AD14" s="73" t="s">
        <v>24</v>
      </c>
    </row>
    <row r="15" spans="1:30" ht="25.5" x14ac:dyDescent="0.2">
      <c r="A15" s="94" t="s">
        <v>9</v>
      </c>
      <c r="B15" s="95"/>
      <c r="C15" s="95"/>
      <c r="D15" s="96"/>
      <c r="E15" s="95">
        <v>-18625</v>
      </c>
      <c r="F15" s="95">
        <v>-20090</v>
      </c>
      <c r="G15" s="95">
        <v>-21356</v>
      </c>
      <c r="H15" s="77">
        <f>+$H$13*H16</f>
        <v>-24017.157000000003</v>
      </c>
      <c r="I15" s="69">
        <f>+$I$13*I16</f>
        <v>-26462.459160000006</v>
      </c>
      <c r="J15" s="69">
        <f>+$J$13*J16</f>
        <v>-27277.513732484709</v>
      </c>
      <c r="K15" s="69">
        <f>+$K$13*K16</f>
        <v>-28694.717188819544</v>
      </c>
      <c r="L15" s="69">
        <f>+$L$13*L16</f>
        <v>-30213.992191992103</v>
      </c>
      <c r="O15" s="119" t="s">
        <v>50</v>
      </c>
      <c r="P15" s="120">
        <f>SUM(P13:P14)</f>
        <v>15080</v>
      </c>
      <c r="Q15" s="120">
        <f t="shared" ref="Q15:U15" si="45">SUM(Q13:Q14)</f>
        <v>14502</v>
      </c>
      <c r="R15" s="120">
        <f t="shared" si="45"/>
        <v>15943</v>
      </c>
      <c r="S15" s="120">
        <f t="shared" si="45"/>
        <v>17895</v>
      </c>
      <c r="T15" s="120">
        <f t="shared" si="45"/>
        <v>18733</v>
      </c>
      <c r="U15" s="120">
        <f t="shared" si="45"/>
        <v>18541</v>
      </c>
      <c r="X15" s="94" t="s">
        <v>40</v>
      </c>
      <c r="Y15" s="113">
        <v>468</v>
      </c>
      <c r="Z15" s="113">
        <v>-686</v>
      </c>
      <c r="AA15" s="113">
        <v>-518</v>
      </c>
      <c r="AB15" s="113">
        <v>-108</v>
      </c>
      <c r="AC15" s="113">
        <v>-374</v>
      </c>
      <c r="AD15" s="113">
        <v>-480</v>
      </c>
    </row>
    <row r="16" spans="1:30" s="63" customFormat="1" x14ac:dyDescent="0.2">
      <c r="A16" s="97" t="s">
        <v>130</v>
      </c>
      <c r="B16" s="98"/>
      <c r="C16" s="98"/>
      <c r="D16" s="99"/>
      <c r="E16" s="100">
        <f>+E15/E$13</f>
        <v>-0.4405364492170869</v>
      </c>
      <c r="F16" s="100">
        <f t="shared" ref="F16:G16" si="46">+F15/F$13</f>
        <v>-0.44603805421726872</v>
      </c>
      <c r="G16" s="100">
        <f t="shared" si="46"/>
        <v>-0.4374974392592289</v>
      </c>
      <c r="H16" s="101">
        <v>-0.45</v>
      </c>
      <c r="I16" s="71">
        <v>-0.45</v>
      </c>
      <c r="J16" s="70">
        <f>AVERAGE($E$16:$G$16)</f>
        <v>-0.44135731423119484</v>
      </c>
      <c r="K16" s="70">
        <f>AVERAGE($E$16:$G$16)</f>
        <v>-0.44135731423119484</v>
      </c>
      <c r="L16" s="70">
        <f>AVERAGE($E$16:$G$16)</f>
        <v>-0.44135731423119484</v>
      </c>
      <c r="M16" s="62"/>
      <c r="O16" s="117" t="s">
        <v>51</v>
      </c>
      <c r="P16" s="118">
        <v>1350</v>
      </c>
      <c r="Q16" s="118">
        <v>2180</v>
      </c>
      <c r="R16" s="118">
        <v>2625</v>
      </c>
      <c r="S16" s="118">
        <v>2453</v>
      </c>
      <c r="T16" s="118">
        <v>2476</v>
      </c>
      <c r="U16" s="118">
        <v>3553</v>
      </c>
      <c r="X16" s="94" t="s">
        <v>41</v>
      </c>
      <c r="Y16" s="113">
        <v>-117</v>
      </c>
      <c r="Z16" s="113">
        <v>-127</v>
      </c>
      <c r="AA16" s="113">
        <v>-199</v>
      </c>
      <c r="AB16" s="113">
        <v>18</v>
      </c>
      <c r="AC16" s="113">
        <v>51</v>
      </c>
      <c r="AD16" s="113">
        <v>-81</v>
      </c>
    </row>
    <row r="17" spans="1:30" ht="25.5" x14ac:dyDescent="0.2">
      <c r="A17" s="94" t="s">
        <v>10</v>
      </c>
      <c r="B17" s="95"/>
      <c r="C17" s="95"/>
      <c r="D17" s="96"/>
      <c r="E17" s="95">
        <v>-4843</v>
      </c>
      <c r="F17" s="95">
        <v>-4944</v>
      </c>
      <c r="G17" s="95">
        <v>-5064</v>
      </c>
      <c r="H17" s="77">
        <f>+$H$13*H18</f>
        <v>-6404.5752000000002</v>
      </c>
      <c r="I17" s="69">
        <f>+$I$13*I18</f>
        <v>-7056.6557760000005</v>
      </c>
      <c r="J17" s="69">
        <f>+$J$13*J18</f>
        <v>-6758.4133044932714</v>
      </c>
      <c r="K17" s="69">
        <f>+$K$13*K18</f>
        <v>-7109.5467248042569</v>
      </c>
      <c r="L17" s="69">
        <f>+$L$13*L18</f>
        <v>-7485.9699023461844</v>
      </c>
      <c r="O17" s="117" t="s">
        <v>52</v>
      </c>
      <c r="P17" s="118">
        <v>1167</v>
      </c>
      <c r="Q17" s="118">
        <v>1124</v>
      </c>
      <c r="R17" s="118">
        <v>1127</v>
      </c>
      <c r="S17" s="118">
        <v>1164</v>
      </c>
      <c r="T17" s="118">
        <v>1171</v>
      </c>
      <c r="U17" s="118">
        <v>1238</v>
      </c>
      <c r="X17" s="94" t="s">
        <v>55</v>
      </c>
      <c r="Y17" s="113">
        <v>-565</v>
      </c>
      <c r="Z17" s="113">
        <v>42</v>
      </c>
      <c r="AA17" s="113">
        <v>-189</v>
      </c>
      <c r="AB17" s="113">
        <v>-151</v>
      </c>
      <c r="AC17" s="113">
        <v>-30</v>
      </c>
      <c r="AD17" s="113">
        <v>-151</v>
      </c>
    </row>
    <row r="18" spans="1:30" s="63" customFormat="1" ht="25.5" x14ac:dyDescent="0.2">
      <c r="A18" s="97" t="s">
        <v>130</v>
      </c>
      <c r="B18" s="98"/>
      <c r="C18" s="98"/>
      <c r="D18" s="99"/>
      <c r="E18" s="100">
        <f>+E17/E$13</f>
        <v>-0.11455130327830076</v>
      </c>
      <c r="F18" s="100">
        <f t="shared" ref="F18" si="47">+F17/F$13</f>
        <v>-0.10976665704580271</v>
      </c>
      <c r="G18" s="100">
        <f t="shared" ref="G18" si="48">+G17/G$13</f>
        <v>-0.10374073011840865</v>
      </c>
      <c r="H18" s="101">
        <v>-0.12</v>
      </c>
      <c r="I18" s="71">
        <v>-0.12</v>
      </c>
      <c r="J18" s="70">
        <f>AVERAGE($E$18:$G$18)</f>
        <v>-0.10935289681417071</v>
      </c>
      <c r="K18" s="70">
        <f t="shared" ref="K18:L18" si="49">AVERAGE($E$18:$G$18)</f>
        <v>-0.10935289681417071</v>
      </c>
      <c r="L18" s="70">
        <f t="shared" si="49"/>
        <v>-0.10935289681417071</v>
      </c>
      <c r="M18" s="62"/>
      <c r="O18" s="119" t="s">
        <v>108</v>
      </c>
      <c r="P18" s="120">
        <f>+SUM(P15:P17)</f>
        <v>17597</v>
      </c>
      <c r="Q18" s="120">
        <f t="shared" ref="Q18:U18" si="50">+SUM(Q15:Q17)</f>
        <v>17806</v>
      </c>
      <c r="R18" s="120">
        <f t="shared" si="50"/>
        <v>19695</v>
      </c>
      <c r="S18" s="120">
        <f t="shared" si="50"/>
        <v>21512</v>
      </c>
      <c r="T18" s="120">
        <f t="shared" si="50"/>
        <v>22380</v>
      </c>
      <c r="U18" s="120">
        <f t="shared" si="50"/>
        <v>23332</v>
      </c>
      <c r="X18" s="94" t="s">
        <v>58</v>
      </c>
      <c r="Y18" s="113">
        <v>-250</v>
      </c>
      <c r="Z18" s="113">
        <v>649</v>
      </c>
      <c r="AA18" s="113">
        <v>-367</v>
      </c>
      <c r="AB18" s="113">
        <v>-608</v>
      </c>
      <c r="AC18" s="113">
        <v>367</v>
      </c>
      <c r="AD18" s="113">
        <v>536</v>
      </c>
    </row>
    <row r="19" spans="1:30" x14ac:dyDescent="0.2">
      <c r="A19" s="94" t="s">
        <v>11</v>
      </c>
      <c r="B19" s="95"/>
      <c r="C19" s="95"/>
      <c r="D19" s="96"/>
      <c r="E19" s="95">
        <v>-7960</v>
      </c>
      <c r="F19" s="95">
        <v>-8365</v>
      </c>
      <c r="G19" s="95">
        <v>-8565</v>
      </c>
      <c r="H19" s="77">
        <f>+$H$13*H20</f>
        <v>-9364.6608534436855</v>
      </c>
      <c r="I19" s="69">
        <f>+$I$13*I20</f>
        <v>-10318.121973450241</v>
      </c>
      <c r="J19" s="69">
        <f>+$J$13*J20</f>
        <v>-10844.197670672556</v>
      </c>
      <c r="K19" s="69">
        <f>+$K$13*K20</f>
        <v>-11407.608052233581</v>
      </c>
      <c r="L19" s="69">
        <f>+$L$13*L20</f>
        <v>-12011.597059886228</v>
      </c>
      <c r="O19" s="94" t="s">
        <v>53</v>
      </c>
      <c r="P19" s="115">
        <v>2247</v>
      </c>
      <c r="Q19" s="115">
        <v>5081</v>
      </c>
      <c r="R19" s="115">
        <v>5121</v>
      </c>
      <c r="S19" s="115">
        <v>5015</v>
      </c>
      <c r="T19" s="115">
        <v>7370</v>
      </c>
      <c r="U19" s="115">
        <v>7434</v>
      </c>
      <c r="X19" s="94" t="s">
        <v>19</v>
      </c>
      <c r="Y19" s="113">
        <v>8</v>
      </c>
      <c r="Z19" s="113">
        <v>-144</v>
      </c>
      <c r="AA19" s="113">
        <v>134</v>
      </c>
      <c r="AB19" s="113">
        <v>-242</v>
      </c>
      <c r="AC19" s="113">
        <v>89</v>
      </c>
      <c r="AD19" s="113">
        <v>-96</v>
      </c>
    </row>
    <row r="20" spans="1:30" s="63" customFormat="1" x14ac:dyDescent="0.2">
      <c r="A20" s="97" t="s">
        <v>130</v>
      </c>
      <c r="B20" s="98"/>
      <c r="C20" s="98"/>
      <c r="D20" s="99"/>
      <c r="E20" s="100">
        <f>+E19/E$13</f>
        <v>-0.18827759118217513</v>
      </c>
      <c r="F20" s="100">
        <f t="shared" ref="F20" si="51">+F19/F$13</f>
        <v>-0.18571967762705091</v>
      </c>
      <c r="G20" s="100">
        <f t="shared" ref="G20" si="52">+G19/G$13</f>
        <v>-0.17546195763510469</v>
      </c>
      <c r="H20" s="102">
        <f>+G20</f>
        <v>-0.17546195763510469</v>
      </c>
      <c r="I20" s="70">
        <f t="shared" ref="I20:L20" si="53">+H20</f>
        <v>-0.17546195763510469</v>
      </c>
      <c r="J20" s="70">
        <f t="shared" si="53"/>
        <v>-0.17546195763510469</v>
      </c>
      <c r="K20" s="70">
        <f t="shared" si="53"/>
        <v>-0.17546195763510469</v>
      </c>
      <c r="L20" s="70">
        <f t="shared" si="53"/>
        <v>-0.17546195763510469</v>
      </c>
      <c r="M20" s="62"/>
      <c r="O20" s="94" t="s">
        <v>54</v>
      </c>
      <c r="P20" s="115">
        <v>21683</v>
      </c>
      <c r="Q20" s="115">
        <v>24100</v>
      </c>
      <c r="R20" s="115">
        <v>24145</v>
      </c>
      <c r="S20" s="115">
        <v>25110</v>
      </c>
      <c r="T20" s="115">
        <v>27324</v>
      </c>
      <c r="U20" s="115">
        <v>27881</v>
      </c>
      <c r="X20" s="67" t="s">
        <v>86</v>
      </c>
      <c r="Y20" s="73">
        <f>SUM(Y4:Y19)</f>
        <v>5319</v>
      </c>
      <c r="Z20" s="73">
        <f t="shared" ref="Z20:AD20" si="54">SUM(Z4:Z19)</f>
        <v>6578</v>
      </c>
      <c r="AA20" s="73">
        <f t="shared" si="54"/>
        <v>6994</v>
      </c>
      <c r="AB20" s="73">
        <f>SUM(AB4:AB19)</f>
        <v>7966</v>
      </c>
      <c r="AC20" s="73">
        <f t="shared" si="54"/>
        <v>9452</v>
      </c>
      <c r="AD20" s="73">
        <f t="shared" si="54"/>
        <v>9780</v>
      </c>
    </row>
    <row r="21" spans="1:30" x14ac:dyDescent="0.2">
      <c r="A21" s="94" t="s">
        <v>12</v>
      </c>
      <c r="B21" s="95"/>
      <c r="C21" s="95"/>
      <c r="D21" s="96"/>
      <c r="E21" s="95">
        <v>-1987</v>
      </c>
      <c r="F21" s="95">
        <v>-2192</v>
      </c>
      <c r="G21" s="95">
        <v>-2288</v>
      </c>
      <c r="H21" s="77">
        <f>(+'int exp + dep forecast'!L24)*-1</f>
        <v>-2709.642502345117</v>
      </c>
      <c r="I21" s="69">
        <f>(+'int exp + dep forecast'!M24)*-1</f>
        <v>-3121.7129977234858</v>
      </c>
      <c r="J21" s="69">
        <f>(+'int exp + dep forecast'!N24)*-1</f>
        <v>-3554.7931568486802</v>
      </c>
      <c r="K21" s="69">
        <f>(+'int exp + dep forecast'!O24)*-1</f>
        <v>-4010.3739992986652</v>
      </c>
      <c r="L21" s="69">
        <f>(+'int exp + dep forecast'!P24)*-1</f>
        <v>-4490.0760965881382</v>
      </c>
      <c r="O21" s="94" t="s">
        <v>55</v>
      </c>
      <c r="P21" s="115">
        <v>2022</v>
      </c>
      <c r="Q21" s="115">
        <v>2708</v>
      </c>
      <c r="R21" s="115">
        <v>2614</v>
      </c>
      <c r="S21" s="115">
        <v>2288</v>
      </c>
      <c r="T21" s="115">
        <v>2426</v>
      </c>
      <c r="U21" s="115">
        <v>2342</v>
      </c>
      <c r="X21" s="56" t="s">
        <v>87</v>
      </c>
      <c r="Y21" s="73"/>
      <c r="Z21" s="73"/>
      <c r="AA21" s="73" t="s">
        <v>24</v>
      </c>
      <c r="AB21" s="73" t="s">
        <v>24</v>
      </c>
      <c r="AC21" s="73" t="s">
        <v>24</v>
      </c>
      <c r="AD21" s="73" t="s">
        <v>24</v>
      </c>
    </row>
    <row r="22" spans="1:30" ht="25.5" x14ac:dyDescent="0.2">
      <c r="A22" s="57" t="s">
        <v>13</v>
      </c>
      <c r="B22" s="95">
        <v>30452</v>
      </c>
      <c r="C22" s="95">
        <v>31337</v>
      </c>
      <c r="D22" s="96">
        <v>33112</v>
      </c>
      <c r="E22" s="58">
        <f>+-SUM(E15,E17,E19,E21)</f>
        <v>33415</v>
      </c>
      <c r="F22" s="58">
        <f t="shared" ref="F22:G22" si="55">+-SUM(F15,F17,F19,F21)</f>
        <v>35591</v>
      </c>
      <c r="G22" s="58">
        <f t="shared" si="55"/>
        <v>37273</v>
      </c>
      <c r="H22" s="91">
        <f t="shared" ref="H22:L22" si="56">+-SUM(H15,H17,H19,H21)</f>
        <v>42496.035555788803</v>
      </c>
      <c r="I22" s="66">
        <f t="shared" si="56"/>
        <v>46958.949907173737</v>
      </c>
      <c r="J22" s="66">
        <f t="shared" si="56"/>
        <v>48434.917864499221</v>
      </c>
      <c r="K22" s="66">
        <f t="shared" si="56"/>
        <v>51222.245965156049</v>
      </c>
      <c r="L22" s="66">
        <f t="shared" si="56"/>
        <v>54201.635250812658</v>
      </c>
      <c r="O22" s="57" t="s">
        <v>56</v>
      </c>
      <c r="P22" s="116">
        <f>+P10+P11+P12+SUM(P18:P21)</f>
        <v>63117</v>
      </c>
      <c r="Q22" s="116">
        <f t="shared" ref="Q22:U22" si="57">+Q10+Q11+Q12+SUM(Q18:Q21)</f>
        <v>69206</v>
      </c>
      <c r="R22" s="116">
        <f t="shared" si="57"/>
        <v>72124</v>
      </c>
      <c r="S22" s="116">
        <f t="shared" si="57"/>
        <v>74898</v>
      </c>
      <c r="T22" s="116">
        <f t="shared" si="57"/>
        <v>81241</v>
      </c>
      <c r="U22" s="116">
        <f t="shared" si="57"/>
        <v>84186</v>
      </c>
      <c r="X22" s="94" t="s">
        <v>88</v>
      </c>
      <c r="Y22" s="113">
        <v>-1753</v>
      </c>
      <c r="Z22" s="113">
        <v>-2110</v>
      </c>
      <c r="AA22" s="113">
        <v>-3559</v>
      </c>
      <c r="AB22" s="113">
        <v>-3784</v>
      </c>
      <c r="AC22" s="113">
        <v>-2796</v>
      </c>
      <c r="AD22" s="113">
        <v>-3311</v>
      </c>
    </row>
    <row r="23" spans="1:30" s="59" customFormat="1" ht="25.5" x14ac:dyDescent="0.2">
      <c r="A23" s="103" t="s">
        <v>132</v>
      </c>
      <c r="B23" s="58">
        <f t="shared" ref="B23:G23" si="58">+B13-B22</f>
        <v>5697</v>
      </c>
      <c r="C23" s="58">
        <f t="shared" si="58"/>
        <v>6726</v>
      </c>
      <c r="D23" s="58">
        <f t="shared" si="58"/>
        <v>7781</v>
      </c>
      <c r="E23" s="58">
        <f t="shared" si="58"/>
        <v>8863</v>
      </c>
      <c r="F23" s="58">
        <f t="shared" si="58"/>
        <v>9450</v>
      </c>
      <c r="G23" s="58">
        <f t="shared" si="58"/>
        <v>11541</v>
      </c>
      <c r="H23" s="91">
        <f t="shared" ref="H23:L23" si="59">+H13-H22</f>
        <v>10875.424444211203</v>
      </c>
      <c r="I23" s="66">
        <f t="shared" si="59"/>
        <v>11846.514892826272</v>
      </c>
      <c r="J23" s="66">
        <f t="shared" si="59"/>
        <v>13368.779169500791</v>
      </c>
      <c r="K23" s="66">
        <f t="shared" si="59"/>
        <v>13792.462670188965</v>
      </c>
      <c r="L23" s="66">
        <f t="shared" si="59"/>
        <v>14255.35235937839</v>
      </c>
      <c r="M23" s="104"/>
      <c r="O23" s="56" t="s">
        <v>57</v>
      </c>
      <c r="P23" s="121"/>
      <c r="Q23" s="121"/>
      <c r="R23" s="121"/>
      <c r="S23" s="121" t="s">
        <v>24</v>
      </c>
      <c r="T23" s="121" t="s">
        <v>24</v>
      </c>
      <c r="U23" s="121" t="s">
        <v>24</v>
      </c>
      <c r="X23" s="94" t="s">
        <v>89</v>
      </c>
      <c r="Y23" s="113">
        <v>185</v>
      </c>
      <c r="Z23" s="113">
        <v>170</v>
      </c>
      <c r="AA23" s="113">
        <v>564</v>
      </c>
      <c r="AB23" s="113">
        <v>110</v>
      </c>
      <c r="AC23" s="113">
        <v>479</v>
      </c>
      <c r="AD23" s="113">
        <v>395</v>
      </c>
    </row>
    <row r="24" spans="1:30" s="59" customFormat="1" ht="25.5" x14ac:dyDescent="0.2">
      <c r="A24" s="97" t="s">
        <v>134</v>
      </c>
      <c r="B24" s="100">
        <f t="shared" ref="B24:L24" si="60">+B23/B$13</f>
        <v>0.15759772054551993</v>
      </c>
      <c r="C24" s="100">
        <f t="shared" si="60"/>
        <v>0.17670703833118775</v>
      </c>
      <c r="D24" s="100">
        <f t="shared" si="60"/>
        <v>0.19027706453427237</v>
      </c>
      <c r="E24" s="100">
        <f t="shared" si="60"/>
        <v>0.20963621741804248</v>
      </c>
      <c r="F24" s="100">
        <f t="shared" si="60"/>
        <v>0.20980884083390688</v>
      </c>
      <c r="G24" s="100">
        <f t="shared" si="60"/>
        <v>0.23642807391322163</v>
      </c>
      <c r="H24" s="105">
        <f t="shared" si="60"/>
        <v>0.20376853929443192</v>
      </c>
      <c r="I24" s="61">
        <f t="shared" si="60"/>
        <v>0.20145261895500347</v>
      </c>
      <c r="J24" s="61">
        <f t="shared" si="60"/>
        <v>0.21631034729437362</v>
      </c>
      <c r="K24" s="61">
        <f t="shared" si="60"/>
        <v>0.21214372808387458</v>
      </c>
      <c r="L24" s="61">
        <f t="shared" si="60"/>
        <v>0.2082380901793614</v>
      </c>
      <c r="M24" s="104"/>
      <c r="O24" s="94" t="s">
        <v>58</v>
      </c>
      <c r="P24" s="115">
        <v>5616</v>
      </c>
      <c r="Q24" s="115">
        <v>6109</v>
      </c>
      <c r="R24" s="115">
        <v>6362</v>
      </c>
      <c r="S24" s="115">
        <v>6393</v>
      </c>
      <c r="T24" s="115">
        <v>6803</v>
      </c>
      <c r="U24" s="115">
        <v>7595</v>
      </c>
      <c r="X24" s="94" t="s">
        <v>90</v>
      </c>
      <c r="Y24" s="113">
        <v>-176</v>
      </c>
      <c r="Z24" s="113">
        <v>-2493</v>
      </c>
      <c r="AA24" s="113">
        <v>-184</v>
      </c>
      <c r="AB24" s="113">
        <v>-1088</v>
      </c>
      <c r="AC24" s="113">
        <v>-2443</v>
      </c>
      <c r="AD24" s="113">
        <v>-402</v>
      </c>
    </row>
    <row r="25" spans="1:30" x14ac:dyDescent="0.2">
      <c r="A25" s="94" t="s">
        <v>14</v>
      </c>
      <c r="B25" s="95">
        <v>-492</v>
      </c>
      <c r="C25" s="95">
        <v>-270</v>
      </c>
      <c r="D25" s="96">
        <v>-55</v>
      </c>
      <c r="E25" s="95">
        <v>-100</v>
      </c>
      <c r="F25" s="95">
        <v>-214</v>
      </c>
      <c r="G25" s="95">
        <v>-140</v>
      </c>
      <c r="H25" s="106">
        <v>-140</v>
      </c>
      <c r="I25" s="107">
        <v>-140</v>
      </c>
      <c r="J25" s="107">
        <v>-140</v>
      </c>
      <c r="K25" s="107">
        <v>-140</v>
      </c>
      <c r="L25" s="107">
        <v>-140</v>
      </c>
      <c r="O25" s="94" t="s">
        <v>59</v>
      </c>
      <c r="P25" s="115">
        <v>1206</v>
      </c>
      <c r="Q25" s="115">
        <v>2350</v>
      </c>
      <c r="R25" s="115">
        <v>3055</v>
      </c>
      <c r="S25" s="115">
        <v>3614</v>
      </c>
      <c r="T25" s="115">
        <v>1512</v>
      </c>
      <c r="U25" s="115">
        <v>2164</v>
      </c>
      <c r="X25" s="94" t="s">
        <v>91</v>
      </c>
      <c r="Y25" s="113">
        <v>-11</v>
      </c>
      <c r="Z25" s="113">
        <v>-90</v>
      </c>
      <c r="AA25" s="113">
        <v>-107</v>
      </c>
      <c r="AB25" s="113">
        <v>3</v>
      </c>
      <c r="AC25" s="113">
        <v>84</v>
      </c>
      <c r="AD25" s="113">
        <v>-27</v>
      </c>
    </row>
    <row r="26" spans="1:30" x14ac:dyDescent="0.2">
      <c r="A26" s="94" t="s">
        <v>15</v>
      </c>
      <c r="B26" s="95">
        <v>342</v>
      </c>
      <c r="C26" s="95">
        <v>140</v>
      </c>
      <c r="D26" s="96">
        <v>75</v>
      </c>
      <c r="E26" s="95">
        <v>239</v>
      </c>
      <c r="F26" s="95">
        <v>-69</v>
      </c>
      <c r="G26" s="95">
        <v>-31</v>
      </c>
      <c r="O26" s="94" t="s">
        <v>60</v>
      </c>
      <c r="P26" s="115">
        <v>2112</v>
      </c>
      <c r="Q26" s="115">
        <v>2541</v>
      </c>
      <c r="R26" s="115">
        <v>2671</v>
      </c>
      <c r="S26" s="115">
        <v>2806</v>
      </c>
      <c r="T26" s="115">
        <v>3389</v>
      </c>
      <c r="U26" s="115">
        <v>3533</v>
      </c>
      <c r="X26" s="67" t="s">
        <v>92</v>
      </c>
      <c r="Y26" s="73">
        <f>+SUM(Y22:Y25)</f>
        <v>-1755</v>
      </c>
      <c r="Z26" s="73">
        <f t="shared" ref="Z26:AD26" si="61">+SUM(Z22:Z25)</f>
        <v>-4523</v>
      </c>
      <c r="AA26" s="73">
        <f t="shared" si="61"/>
        <v>-3286</v>
      </c>
      <c r="AB26" s="73">
        <f>+SUM(AB22:AB25)</f>
        <v>-4759</v>
      </c>
      <c r="AC26" s="73">
        <f t="shared" si="61"/>
        <v>-4676</v>
      </c>
      <c r="AD26" s="73">
        <f t="shared" si="61"/>
        <v>-3345</v>
      </c>
    </row>
    <row r="27" spans="1:30" x14ac:dyDescent="0.2">
      <c r="A27" s="94" t="s">
        <v>17</v>
      </c>
      <c r="B27" s="95">
        <v>577</v>
      </c>
      <c r="C27" s="95">
        <v>440</v>
      </c>
      <c r="D27" s="96">
        <v>585</v>
      </c>
      <c r="E27" s="95">
        <v>627</v>
      </c>
      <c r="F27" s="95">
        <v>688</v>
      </c>
      <c r="G27" s="95">
        <v>854</v>
      </c>
      <c r="H27" s="77">
        <f>+G27*(1+H28)</f>
        <v>939.82239927625392</v>
      </c>
      <c r="I27" s="69">
        <f t="shared" ref="I27" si="62">+H27*(1+I28)</f>
        <v>1034.2694873318201</v>
      </c>
      <c r="J27" s="69">
        <f t="shared" ref="J27" si="63">+I27*(1+J28)</f>
        <v>1138.2079989255412</v>
      </c>
      <c r="K27" s="69">
        <f t="shared" ref="K27" si="64">+J27*(1+K28)</f>
        <v>1252.5917709901944</v>
      </c>
      <c r="L27" s="69">
        <f t="shared" ref="L27" si="65">+K27*(1+L28)</f>
        <v>1378.4704959317289</v>
      </c>
      <c r="O27" s="122" t="s">
        <v>61</v>
      </c>
      <c r="P27" s="123">
        <f>+SUM(P24:P26)</f>
        <v>8934</v>
      </c>
      <c r="Q27" s="123">
        <f t="shared" ref="Q27:U27" si="66">+SUM(Q24:Q26)</f>
        <v>11000</v>
      </c>
      <c r="R27" s="123">
        <f t="shared" si="66"/>
        <v>12088</v>
      </c>
      <c r="S27" s="123">
        <f t="shared" si="66"/>
        <v>12813</v>
      </c>
      <c r="T27" s="123">
        <f t="shared" si="66"/>
        <v>11704</v>
      </c>
      <c r="U27" s="123">
        <f t="shared" si="66"/>
        <v>13292</v>
      </c>
      <c r="X27" s="56" t="s">
        <v>93</v>
      </c>
      <c r="Y27" s="73"/>
      <c r="Z27" s="73"/>
      <c r="AA27" s="73" t="s">
        <v>24</v>
      </c>
      <c r="AB27" s="73" t="s">
        <v>24</v>
      </c>
      <c r="AC27" s="73" t="s">
        <v>24</v>
      </c>
      <c r="AD27" s="73" t="s">
        <v>24</v>
      </c>
    </row>
    <row r="28" spans="1:30" s="65" customFormat="1" ht="25.5" x14ac:dyDescent="0.2">
      <c r="A28" s="84" t="s">
        <v>131</v>
      </c>
      <c r="B28" s="64"/>
      <c r="C28" s="86">
        <f>+C27/B27-1</f>
        <v>-0.23743500866551126</v>
      </c>
      <c r="D28" s="86">
        <f t="shared" ref="D28" si="67">+D27/C27-1</f>
        <v>0.32954545454545459</v>
      </c>
      <c r="E28" s="86">
        <f t="shared" ref="E28" si="68">+E27/D27-1</f>
        <v>7.1794871794871762E-2</v>
      </c>
      <c r="F28" s="86">
        <f t="shared" ref="F28" si="69">+F27/E27-1</f>
        <v>9.7288676236044758E-2</v>
      </c>
      <c r="G28" s="86">
        <f t="shared" ref="G28" si="70">+G27/F27-1</f>
        <v>0.24127906976744184</v>
      </c>
      <c r="H28" s="108">
        <f>AVERAGE($C$28:$G$28)</f>
        <v>0.10049461273566034</v>
      </c>
      <c r="I28" s="109">
        <f t="shared" ref="I28:L28" si="71">AVERAGE($C$28:$G$28)</f>
        <v>0.10049461273566034</v>
      </c>
      <c r="J28" s="109">
        <f t="shared" si="71"/>
        <v>0.10049461273566034</v>
      </c>
      <c r="K28" s="109">
        <f t="shared" si="71"/>
        <v>0.10049461273566034</v>
      </c>
      <c r="L28" s="109">
        <f t="shared" si="71"/>
        <v>0.10049461273566034</v>
      </c>
      <c r="M28" s="60"/>
      <c r="O28" s="94" t="s">
        <v>62</v>
      </c>
      <c r="P28" s="115">
        <v>11495</v>
      </c>
      <c r="Q28" s="115">
        <v>10130</v>
      </c>
      <c r="R28" s="115">
        <v>10922</v>
      </c>
      <c r="S28" s="115">
        <v>10697</v>
      </c>
      <c r="T28" s="115">
        <v>12776</v>
      </c>
      <c r="U28" s="115">
        <v>12676</v>
      </c>
      <c r="X28" s="94" t="s">
        <v>94</v>
      </c>
      <c r="Y28" s="113">
        <v>-1985</v>
      </c>
      <c r="Z28" s="113">
        <v>1190</v>
      </c>
      <c r="AA28" s="113">
        <v>393</v>
      </c>
      <c r="AB28" s="113">
        <v>467</v>
      </c>
      <c r="AC28" s="113">
        <v>-2050</v>
      </c>
      <c r="AD28" s="113">
        <v>50</v>
      </c>
    </row>
    <row r="29" spans="1:30" s="59" customFormat="1" x14ac:dyDescent="0.2">
      <c r="A29" s="110" t="s">
        <v>133</v>
      </c>
      <c r="B29" s="58">
        <f>+B23+SUM(B25:B27)</f>
        <v>6124</v>
      </c>
      <c r="C29" s="58">
        <f t="shared" ref="C29:L29" si="72">+C23+SUM(C25:C27)</f>
        <v>7036</v>
      </c>
      <c r="D29" s="58">
        <f t="shared" si="72"/>
        <v>8386</v>
      </c>
      <c r="E29" s="58">
        <f t="shared" si="72"/>
        <v>9629</v>
      </c>
      <c r="F29" s="58">
        <f t="shared" si="72"/>
        <v>9855</v>
      </c>
      <c r="G29" s="58">
        <f t="shared" si="72"/>
        <v>12224</v>
      </c>
      <c r="H29" s="91">
        <f t="shared" si="72"/>
        <v>11675.246843487457</v>
      </c>
      <c r="I29" s="66">
        <f t="shared" si="72"/>
        <v>12740.784380158091</v>
      </c>
      <c r="J29" s="66">
        <f t="shared" si="72"/>
        <v>14366.987168426333</v>
      </c>
      <c r="K29" s="66">
        <f t="shared" si="72"/>
        <v>14905.05444117916</v>
      </c>
      <c r="L29" s="66">
        <f t="shared" si="72"/>
        <v>15493.82285531012</v>
      </c>
      <c r="M29" s="104"/>
      <c r="O29" s="94" t="s">
        <v>43</v>
      </c>
      <c r="P29" s="115">
        <v>1819</v>
      </c>
      <c r="Q29" s="115">
        <v>2630</v>
      </c>
      <c r="R29" s="115">
        <v>2866</v>
      </c>
      <c r="S29" s="115">
        <v>2251</v>
      </c>
      <c r="T29" s="115">
        <v>4050</v>
      </c>
      <c r="U29" s="115">
        <v>4098</v>
      </c>
      <c r="X29" s="94" t="s">
        <v>62</v>
      </c>
      <c r="Y29" s="113">
        <v>1750</v>
      </c>
      <c r="Z29" s="113"/>
      <c r="AA29" s="113">
        <v>2350</v>
      </c>
      <c r="AB29" s="113">
        <v>3779</v>
      </c>
      <c r="AC29" s="113">
        <v>3931</v>
      </c>
      <c r="AD29" s="113">
        <v>2231</v>
      </c>
    </row>
    <row r="30" spans="1:30" s="65" customFormat="1" x14ac:dyDescent="0.2">
      <c r="A30" s="97" t="s">
        <v>135</v>
      </c>
      <c r="B30" s="100">
        <f t="shared" ref="B30" si="73">+B29/B$13</f>
        <v>0.16940994218373953</v>
      </c>
      <c r="C30" s="100">
        <f t="shared" ref="C30" si="74">+C29/C$13</f>
        <v>0.18485143052308015</v>
      </c>
      <c r="D30" s="100">
        <f t="shared" ref="D30" si="75">+D29/D$13</f>
        <v>0.20507177267502996</v>
      </c>
      <c r="E30" s="100">
        <f t="shared" ref="E30" si="76">+E29/E$13</f>
        <v>0.22775438762476938</v>
      </c>
      <c r="F30" s="100">
        <f t="shared" ref="F30" si="77">+F29/F$13</f>
        <v>0.21880064829821719</v>
      </c>
      <c r="G30" s="100">
        <f t="shared" ref="G30:L30" si="78">+G29/G$13</f>
        <v>0.25041996148645879</v>
      </c>
      <c r="H30" s="105">
        <f t="shared" si="78"/>
        <v>0.21875449619492246</v>
      </c>
      <c r="I30" s="61">
        <f t="shared" si="78"/>
        <v>0.21665987036221995</v>
      </c>
      <c r="J30" s="61">
        <f t="shared" si="78"/>
        <v>0.2324616140766245</v>
      </c>
      <c r="K30" s="61">
        <f t="shared" si="78"/>
        <v>0.22925665213357704</v>
      </c>
      <c r="L30" s="61">
        <f t="shared" si="78"/>
        <v>0.22632931123898281</v>
      </c>
      <c r="M30" s="60"/>
      <c r="O30" s="94" t="s">
        <v>63</v>
      </c>
      <c r="P30" s="115">
        <v>5444</v>
      </c>
      <c r="Q30" s="115">
        <v>6104</v>
      </c>
      <c r="R30" s="115">
        <v>6795</v>
      </c>
      <c r="S30" s="115">
        <v>7179</v>
      </c>
      <c r="T30" s="115">
        <v>4561</v>
      </c>
      <c r="U30" s="115">
        <v>5942</v>
      </c>
      <c r="X30" s="94" t="s">
        <v>95</v>
      </c>
      <c r="Y30" s="113">
        <v>-1617</v>
      </c>
      <c r="Z30" s="113">
        <v>-1371</v>
      </c>
      <c r="AA30" s="113">
        <v>-1096</v>
      </c>
      <c r="AB30" s="113">
        <v>-3822</v>
      </c>
      <c r="AC30" s="113">
        <v>-1502</v>
      </c>
      <c r="AD30" s="113">
        <v>-1648</v>
      </c>
    </row>
    <row r="31" spans="1:30" x14ac:dyDescent="0.2">
      <c r="A31" s="94" t="s">
        <v>16</v>
      </c>
      <c r="B31" s="95">
        <v>-466</v>
      </c>
      <c r="C31" s="95">
        <v>-409</v>
      </c>
      <c r="D31" s="96">
        <v>-343</v>
      </c>
      <c r="E31" s="95">
        <v>-369</v>
      </c>
      <c r="F31" s="95">
        <v>-235</v>
      </c>
      <c r="G31" s="95">
        <v>23</v>
      </c>
      <c r="H31" s="77">
        <f>(+'int exp + dep forecast'!O4)*-1</f>
        <v>-319.52558745592842</v>
      </c>
      <c r="I31" s="69">
        <f>(+'int exp + dep forecast'!O5)*-1</f>
        <v>-356.76165475271387</v>
      </c>
      <c r="J31" s="69">
        <f>(+'int exp + dep forecast'!O6)*-1</f>
        <v>-383.57910266261558</v>
      </c>
      <c r="K31" s="69">
        <f>(+'int exp + dep forecast'!O7)*-1</f>
        <v>-403.32665867210937</v>
      </c>
      <c r="L31" s="69">
        <f>(+'int exp + dep forecast'!O8)*-1</f>
        <v>-424.48643783118786</v>
      </c>
      <c r="O31" s="94" t="s">
        <v>64</v>
      </c>
      <c r="P31" s="115"/>
      <c r="Q31" s="115"/>
      <c r="R31" s="115" t="s">
        <v>77</v>
      </c>
      <c r="S31" s="115" t="s">
        <v>65</v>
      </c>
      <c r="T31" s="115" t="s">
        <v>65</v>
      </c>
      <c r="U31" s="115" t="s">
        <v>65</v>
      </c>
      <c r="X31" s="94" t="s">
        <v>96</v>
      </c>
      <c r="Y31" s="113">
        <v>-648</v>
      </c>
      <c r="Z31" s="113">
        <v>-653</v>
      </c>
      <c r="AA31" s="113">
        <v>-756</v>
      </c>
      <c r="AB31" s="113">
        <v>-1076</v>
      </c>
      <c r="AC31" s="113">
        <v>-1324</v>
      </c>
      <c r="AD31" s="113">
        <v>-1508</v>
      </c>
    </row>
    <row r="32" spans="1:30" s="59" customFormat="1" x14ac:dyDescent="0.2">
      <c r="A32" s="57" t="s">
        <v>18</v>
      </c>
      <c r="B32" s="58">
        <f>+B29+B31</f>
        <v>5658</v>
      </c>
      <c r="C32" s="58">
        <f t="shared" ref="C32:G32" si="79">+C29+C31</f>
        <v>6627</v>
      </c>
      <c r="D32" s="58">
        <f t="shared" si="79"/>
        <v>8043</v>
      </c>
      <c r="E32" s="58">
        <f t="shared" si="79"/>
        <v>9260</v>
      </c>
      <c r="F32" s="58">
        <f t="shared" si="79"/>
        <v>9620</v>
      </c>
      <c r="G32" s="58">
        <f t="shared" si="79"/>
        <v>12247</v>
      </c>
      <c r="H32" s="91">
        <f t="shared" ref="H32:L32" si="80">+H29+H31</f>
        <v>11355.721256031529</v>
      </c>
      <c r="I32" s="66">
        <f t="shared" si="80"/>
        <v>12384.022725405377</v>
      </c>
      <c r="J32" s="66">
        <f t="shared" si="80"/>
        <v>13983.408065763717</v>
      </c>
      <c r="K32" s="66">
        <f t="shared" si="80"/>
        <v>14501.727782507051</v>
      </c>
      <c r="L32" s="66">
        <f t="shared" si="80"/>
        <v>15069.336417478931</v>
      </c>
      <c r="M32" s="104"/>
      <c r="O32" s="56" t="s">
        <v>66</v>
      </c>
      <c r="P32" s="121"/>
      <c r="Q32" s="121"/>
      <c r="R32" s="121"/>
      <c r="S32" s="121" t="s">
        <v>24</v>
      </c>
      <c r="T32" s="121" t="s">
        <v>24</v>
      </c>
      <c r="U32" s="121" t="s">
        <v>24</v>
      </c>
      <c r="X32" s="94" t="s">
        <v>97</v>
      </c>
      <c r="Y32" s="113">
        <v>-138</v>
      </c>
      <c r="Z32" s="113">
        <v>-2669</v>
      </c>
      <c r="AA32" s="113">
        <v>-4993</v>
      </c>
      <c r="AB32" s="113">
        <v>-3015</v>
      </c>
      <c r="AC32" s="113">
        <v>-4087</v>
      </c>
      <c r="AD32" s="113">
        <v>-6527</v>
      </c>
    </row>
    <row r="33" spans="1:30" ht="25.5" x14ac:dyDescent="0.2">
      <c r="A33" s="94" t="s">
        <v>19</v>
      </c>
      <c r="B33" s="95">
        <v>-2049</v>
      </c>
      <c r="C33" s="95">
        <v>-2314</v>
      </c>
      <c r="D33" s="96">
        <v>-2785</v>
      </c>
      <c r="E33" s="95">
        <v>-3087</v>
      </c>
      <c r="F33" s="95">
        <v>-2984</v>
      </c>
      <c r="G33" s="95">
        <v>-4242</v>
      </c>
      <c r="H33" s="106">
        <f>-H32*AVERAGE($C$70:$G$70)</f>
        <v>-3827.7147960410789</v>
      </c>
      <c r="I33" s="107">
        <f t="shared" ref="I33:L33" si="81">-I32*AVERAGE($C$70:$G$70)</f>
        <v>-4174.3281603857213</v>
      </c>
      <c r="J33" s="107">
        <f t="shared" si="81"/>
        <v>-4713.4388688851177</v>
      </c>
      <c r="K33" s="107">
        <f t="shared" si="81"/>
        <v>-4888.1508051969131</v>
      </c>
      <c r="L33" s="107">
        <f t="shared" si="81"/>
        <v>-5079.4767387468019</v>
      </c>
      <c r="O33" s="94" t="s">
        <v>67</v>
      </c>
      <c r="P33" s="115"/>
      <c r="Q33" s="115"/>
      <c r="R33" s="115" t="s">
        <v>77</v>
      </c>
      <c r="S33" s="115">
        <v>0</v>
      </c>
      <c r="T33" s="115">
        <v>0</v>
      </c>
      <c r="U33" s="115">
        <v>0</v>
      </c>
      <c r="X33" s="94" t="s">
        <v>98</v>
      </c>
      <c r="Y33" s="113">
        <v>119</v>
      </c>
      <c r="Z33" s="113">
        <v>1133</v>
      </c>
      <c r="AA33" s="113">
        <v>1128</v>
      </c>
      <c r="AB33" s="113">
        <v>1008</v>
      </c>
      <c r="AC33" s="113">
        <v>587</v>
      </c>
      <c r="AD33" s="113">
        <v>404</v>
      </c>
    </row>
    <row r="34" spans="1:30" s="59" customFormat="1" ht="38.25" x14ac:dyDescent="0.2">
      <c r="A34" s="57" t="s">
        <v>20</v>
      </c>
      <c r="B34" s="58">
        <f>+B32+B33</f>
        <v>3609</v>
      </c>
      <c r="C34" s="58">
        <f t="shared" ref="C34:G34" si="82">+C32+C33</f>
        <v>4313</v>
      </c>
      <c r="D34" s="58">
        <f t="shared" si="82"/>
        <v>5258</v>
      </c>
      <c r="E34" s="58">
        <f t="shared" si="82"/>
        <v>6173</v>
      </c>
      <c r="F34" s="58">
        <f t="shared" si="82"/>
        <v>6636</v>
      </c>
      <c r="G34" s="58">
        <f t="shared" si="82"/>
        <v>8005</v>
      </c>
      <c r="H34" s="91">
        <f t="shared" ref="H34:L34" si="83">+H32+H33</f>
        <v>7528.0064599904508</v>
      </c>
      <c r="I34" s="66">
        <f t="shared" si="83"/>
        <v>8209.6945650196558</v>
      </c>
      <c r="J34" s="66">
        <f t="shared" si="83"/>
        <v>9269.9691968785992</v>
      </c>
      <c r="K34" s="66">
        <f t="shared" si="83"/>
        <v>9613.5769773101383</v>
      </c>
      <c r="L34" s="66">
        <f t="shared" si="83"/>
        <v>9989.8596787321294</v>
      </c>
      <c r="M34" s="104"/>
      <c r="O34" s="94" t="s">
        <v>68</v>
      </c>
      <c r="P34" s="115">
        <v>27038</v>
      </c>
      <c r="Q34" s="115">
        <v>28736</v>
      </c>
      <c r="R34" s="115">
        <v>30296</v>
      </c>
      <c r="S34" s="115">
        <v>31731</v>
      </c>
      <c r="T34" s="115">
        <v>33440</v>
      </c>
      <c r="U34" s="115">
        <v>34301</v>
      </c>
      <c r="X34" s="94" t="s">
        <v>91</v>
      </c>
      <c r="Y34" s="113">
        <v>-592</v>
      </c>
      <c r="Z34" s="113">
        <v>-293</v>
      </c>
      <c r="AA34" s="113">
        <v>-259</v>
      </c>
      <c r="AB34" s="113">
        <v>-326</v>
      </c>
      <c r="AC34" s="113">
        <v>231</v>
      </c>
      <c r="AD34" s="113">
        <v>288</v>
      </c>
    </row>
    <row r="35" spans="1:30" ht="25.5" x14ac:dyDescent="0.2">
      <c r="A35" s="94" t="s">
        <v>21</v>
      </c>
      <c r="B35" s="95">
        <v>-302</v>
      </c>
      <c r="C35" s="95">
        <v>-350</v>
      </c>
      <c r="D35" s="96">
        <v>-451</v>
      </c>
      <c r="E35" s="95">
        <v>-491</v>
      </c>
      <c r="F35" s="95">
        <v>-500</v>
      </c>
      <c r="G35" s="95">
        <v>-503</v>
      </c>
      <c r="H35" s="106">
        <v>-503</v>
      </c>
      <c r="I35" s="107">
        <v>-503</v>
      </c>
      <c r="J35" s="107">
        <v>-503</v>
      </c>
      <c r="K35" s="107">
        <v>-503</v>
      </c>
      <c r="L35" s="107">
        <v>-503</v>
      </c>
      <c r="O35" s="94" t="s">
        <v>69</v>
      </c>
      <c r="P35" s="115">
        <v>31033</v>
      </c>
      <c r="Q35" s="115">
        <v>34327</v>
      </c>
      <c r="R35" s="115">
        <v>38375</v>
      </c>
      <c r="S35" s="115">
        <v>42965</v>
      </c>
      <c r="T35" s="115">
        <v>47758</v>
      </c>
      <c r="U35" s="115">
        <v>53734</v>
      </c>
      <c r="X35" s="67" t="s">
        <v>99</v>
      </c>
      <c r="Y35" s="73">
        <f>SUM(Y28:Y34)</f>
        <v>-3111</v>
      </c>
      <c r="Z35" s="73">
        <f t="shared" ref="Z35:AD35" si="84">SUM(Z28:Z34)</f>
        <v>-2663</v>
      </c>
      <c r="AA35" s="73">
        <f t="shared" si="84"/>
        <v>-3233</v>
      </c>
      <c r="AB35" s="73">
        <f>SUM(AB28:AB34)</f>
        <v>-2985</v>
      </c>
      <c r="AC35" s="73">
        <f t="shared" si="84"/>
        <v>-4214</v>
      </c>
      <c r="AD35" s="73">
        <f t="shared" si="84"/>
        <v>-6710</v>
      </c>
    </row>
    <row r="36" spans="1:30" s="59" customFormat="1" ht="25.5" x14ac:dyDescent="0.2">
      <c r="A36" s="57" t="s">
        <v>22</v>
      </c>
      <c r="B36" s="58">
        <f>+B34+B35</f>
        <v>3307</v>
      </c>
      <c r="C36" s="58">
        <f t="shared" ref="C36:G36" si="85">+C34+C35</f>
        <v>3963</v>
      </c>
      <c r="D36" s="58">
        <f t="shared" si="85"/>
        <v>4807</v>
      </c>
      <c r="E36" s="58">
        <f t="shared" si="85"/>
        <v>5682</v>
      </c>
      <c r="F36" s="58">
        <f t="shared" si="85"/>
        <v>6136</v>
      </c>
      <c r="G36" s="58">
        <f t="shared" si="85"/>
        <v>7502</v>
      </c>
      <c r="H36" s="91">
        <f t="shared" ref="H36:L36" si="86">+H34+H35</f>
        <v>7025.0064599904508</v>
      </c>
      <c r="I36" s="66">
        <f t="shared" si="86"/>
        <v>7706.6945650196558</v>
      </c>
      <c r="J36" s="66">
        <f t="shared" si="86"/>
        <v>8766.9691968785992</v>
      </c>
      <c r="K36" s="66">
        <f t="shared" si="86"/>
        <v>9110.5769773101383</v>
      </c>
      <c r="L36" s="66">
        <f t="shared" si="86"/>
        <v>9486.8596787321294</v>
      </c>
      <c r="M36" s="104"/>
      <c r="O36" s="94" t="s">
        <v>70</v>
      </c>
      <c r="P36" s="115">
        <v>-1644</v>
      </c>
      <c r="Q36" s="115">
        <v>-1881</v>
      </c>
      <c r="R36" s="115">
        <v>-2630</v>
      </c>
      <c r="S36" s="115">
        <v>-3266</v>
      </c>
      <c r="T36" s="115">
        <v>-1187</v>
      </c>
      <c r="U36" s="115">
        <v>-1968</v>
      </c>
      <c r="X36" s="94" t="s">
        <v>100</v>
      </c>
      <c r="Y36" s="113">
        <v>-37</v>
      </c>
      <c r="Z36" s="113">
        <v>-87</v>
      </c>
      <c r="AA36" s="113">
        <v>-12</v>
      </c>
      <c r="AB36" s="113">
        <v>-20</v>
      </c>
      <c r="AC36" s="113">
        <v>-18</v>
      </c>
      <c r="AD36" s="113">
        <v>-235</v>
      </c>
    </row>
    <row r="37" spans="1:30" s="65" customFormat="1" ht="25.5" x14ac:dyDescent="0.2">
      <c r="A37" s="97" t="s">
        <v>112</v>
      </c>
      <c r="B37" s="100">
        <f t="shared" ref="B37:G37" si="87">+B36/B$13</f>
        <v>9.1482475310520353E-2</v>
      </c>
      <c r="C37" s="100">
        <f t="shared" si="87"/>
        <v>0.10411685889183722</v>
      </c>
      <c r="D37" s="100">
        <f t="shared" si="87"/>
        <v>0.11755068104565573</v>
      </c>
      <c r="E37" s="100">
        <f t="shared" si="87"/>
        <v>0.13439613983632148</v>
      </c>
      <c r="F37" s="100">
        <f t="shared" si="87"/>
        <v>0.13623143358273573</v>
      </c>
      <c r="G37" s="100">
        <f t="shared" si="87"/>
        <v>0.1536854181177531</v>
      </c>
      <c r="H37" s="105">
        <f t="shared" ref="H37:L37" si="88">+H36/H$13</f>
        <v>0.13162477586317575</v>
      </c>
      <c r="I37" s="61">
        <f t="shared" si="88"/>
        <v>0.13105405409566043</v>
      </c>
      <c r="J37" s="61">
        <f t="shared" si="88"/>
        <v>0.14185185705081096</v>
      </c>
      <c r="K37" s="61">
        <f t="shared" si="88"/>
        <v>0.14013101294369573</v>
      </c>
      <c r="L37" s="61">
        <f t="shared" si="88"/>
        <v>0.13858131959811565</v>
      </c>
      <c r="M37" s="60"/>
      <c r="O37" s="122" t="s">
        <v>71</v>
      </c>
      <c r="P37" s="123">
        <f>SUM(P33:P36)</f>
        <v>56427</v>
      </c>
      <c r="Q37" s="123">
        <f t="shared" ref="Q37:U37" si="89">SUM(Q33:Q36)</f>
        <v>61182</v>
      </c>
      <c r="R37" s="123">
        <f t="shared" si="89"/>
        <v>66041</v>
      </c>
      <c r="S37" s="123">
        <f t="shared" si="89"/>
        <v>71430</v>
      </c>
      <c r="T37" s="123">
        <f t="shared" si="89"/>
        <v>80011</v>
      </c>
      <c r="U37" s="123">
        <f t="shared" si="89"/>
        <v>86067</v>
      </c>
      <c r="X37" s="67" t="s">
        <v>101</v>
      </c>
      <c r="Y37" s="73">
        <f>+Y20+Y26+Y35+Y36</f>
        <v>416</v>
      </c>
      <c r="Z37" s="73">
        <f t="shared" ref="Z37:AD37" si="90">+Z20+Z26+Z35+Z36</f>
        <v>-695</v>
      </c>
      <c r="AA37" s="73">
        <f t="shared" si="90"/>
        <v>463</v>
      </c>
      <c r="AB37" s="73">
        <f>+AB20+AB26+AB35+AB36</f>
        <v>202</v>
      </c>
      <c r="AC37" s="73">
        <f t="shared" si="90"/>
        <v>544</v>
      </c>
      <c r="AD37" s="73">
        <f t="shared" si="90"/>
        <v>-510</v>
      </c>
    </row>
    <row r="38" spans="1:30" ht="38.25" x14ac:dyDescent="0.2">
      <c r="A38" s="111" t="s">
        <v>23</v>
      </c>
      <c r="B38" s="95"/>
      <c r="C38" s="95"/>
      <c r="D38" s="96" t="s">
        <v>24</v>
      </c>
      <c r="E38" s="95" t="s">
        <v>24</v>
      </c>
      <c r="F38" s="95" t="s">
        <v>24</v>
      </c>
      <c r="G38" s="95" t="s">
        <v>24</v>
      </c>
      <c r="O38" s="94" t="s">
        <v>72</v>
      </c>
      <c r="P38" s="115">
        <v>-22693</v>
      </c>
      <c r="Q38" s="115">
        <v>-23663</v>
      </c>
      <c r="R38" s="115">
        <v>-28656</v>
      </c>
      <c r="S38" s="115">
        <v>-31671</v>
      </c>
      <c r="T38" s="115">
        <v>-34582</v>
      </c>
      <c r="U38" s="115">
        <v>-41109</v>
      </c>
      <c r="X38" s="94" t="s">
        <v>102</v>
      </c>
      <c r="Y38" s="113">
        <v>3001</v>
      </c>
      <c r="Z38" s="113">
        <v>3417</v>
      </c>
      <c r="AA38" s="113">
        <v>2722</v>
      </c>
      <c r="AB38" s="113">
        <v>3185</v>
      </c>
      <c r="AC38" s="113">
        <v>3387</v>
      </c>
      <c r="AD38" s="113">
        <v>3931</v>
      </c>
    </row>
    <row r="39" spans="1:30" s="59" customFormat="1" x14ac:dyDescent="0.2">
      <c r="A39" s="57" t="s">
        <v>25</v>
      </c>
      <c r="B39" s="58">
        <f>+B36/B42</f>
        <v>1.7637333333333334</v>
      </c>
      <c r="C39" s="58">
        <f t="shared" ref="C39:G39" si="91">+C36/C42</f>
        <v>2.0343942505133472</v>
      </c>
      <c r="D39" s="58">
        <f t="shared" si="91"/>
        <v>2.5180722891566263</v>
      </c>
      <c r="E39" s="58">
        <f t="shared" si="91"/>
        <v>3.1254125412541254</v>
      </c>
      <c r="F39" s="58">
        <f t="shared" si="91"/>
        <v>3.3844456701599559</v>
      </c>
      <c r="G39" s="58">
        <f t="shared" si="91"/>
        <v>4.264923251847641</v>
      </c>
      <c r="H39" s="150">
        <f>+H36/H42</f>
        <v>3.9937501193805862</v>
      </c>
      <c r="I39" s="151">
        <f t="shared" ref="I39:L39" si="92">+I36/I42</f>
        <v>4.3812931012050349</v>
      </c>
      <c r="J39" s="151">
        <f t="shared" si="92"/>
        <v>4.9840643529724842</v>
      </c>
      <c r="K39" s="151">
        <f t="shared" si="92"/>
        <v>5.1794070365606242</v>
      </c>
      <c r="L39" s="151">
        <f t="shared" si="92"/>
        <v>5.3933255706265655</v>
      </c>
      <c r="M39" s="104"/>
      <c r="O39" s="122" t="s">
        <v>73</v>
      </c>
      <c r="P39" s="123">
        <f>+P37+P38</f>
        <v>33734</v>
      </c>
      <c r="Q39" s="123">
        <f t="shared" ref="Q39:U39" si="93">+Q37+Q38</f>
        <v>37519</v>
      </c>
      <c r="R39" s="123">
        <f t="shared" si="93"/>
        <v>37385</v>
      </c>
      <c r="S39" s="123">
        <f t="shared" si="93"/>
        <v>39759</v>
      </c>
      <c r="T39" s="123">
        <f t="shared" si="93"/>
        <v>45429</v>
      </c>
      <c r="U39" s="123">
        <f t="shared" si="93"/>
        <v>44958</v>
      </c>
      <c r="X39" s="67" t="s">
        <v>103</v>
      </c>
      <c r="Y39" s="73">
        <f>+SUM(Y37:Y38)</f>
        <v>3417</v>
      </c>
      <c r="Z39" s="73">
        <f t="shared" ref="Z39:AD39" si="94">+SUM(Z37:Z38)</f>
        <v>2722</v>
      </c>
      <c r="AA39" s="73">
        <f t="shared" si="94"/>
        <v>3185</v>
      </c>
      <c r="AB39" s="73">
        <f>+SUM(AB37:AB38)</f>
        <v>3387</v>
      </c>
      <c r="AC39" s="73">
        <f t="shared" si="94"/>
        <v>3931</v>
      </c>
      <c r="AD39" s="73">
        <f t="shared" si="94"/>
        <v>3421</v>
      </c>
    </row>
    <row r="40" spans="1:30" s="59" customFormat="1" ht="25.5" x14ac:dyDescent="0.2">
      <c r="A40" s="57" t="s">
        <v>26</v>
      </c>
      <c r="B40" s="58">
        <f>+B36/B43</f>
        <v>1.7817887931034482</v>
      </c>
      <c r="C40" s="58">
        <f t="shared" ref="C40:L40" si="95">+C36/C43</f>
        <v>2.0694516971279375</v>
      </c>
      <c r="D40" s="58">
        <f t="shared" si="95"/>
        <v>2.5596379126730566</v>
      </c>
      <c r="E40" s="58">
        <f t="shared" si="95"/>
        <v>3.1672240802675584</v>
      </c>
      <c r="F40" s="58">
        <f t="shared" si="95"/>
        <v>3.4241071428571428</v>
      </c>
      <c r="G40" s="58">
        <f t="shared" si="95"/>
        <v>4.3114942528735636</v>
      </c>
      <c r="H40" s="91">
        <f t="shared" si="95"/>
        <v>4.0373600344772704</v>
      </c>
      <c r="I40" s="66">
        <f t="shared" si="95"/>
        <v>4.4291348074825612</v>
      </c>
      <c r="J40" s="66">
        <f t="shared" si="95"/>
        <v>5.0384880441831026</v>
      </c>
      <c r="K40" s="66">
        <f t="shared" si="95"/>
        <v>5.2359637800632983</v>
      </c>
      <c r="L40" s="66">
        <f t="shared" si="95"/>
        <v>5.4522182061678901</v>
      </c>
      <c r="M40" s="104"/>
      <c r="O40" s="94" t="s">
        <v>74</v>
      </c>
      <c r="P40" s="115">
        <v>1691</v>
      </c>
      <c r="Q40" s="115">
        <v>1823</v>
      </c>
      <c r="R40" s="115">
        <v>2068</v>
      </c>
      <c r="S40" s="115">
        <v>2199</v>
      </c>
      <c r="T40" s="115">
        <v>2721</v>
      </c>
      <c r="U40" s="115">
        <v>3220</v>
      </c>
      <c r="X40" s="56" t="s">
        <v>104</v>
      </c>
      <c r="Y40" s="73"/>
      <c r="Z40" s="73"/>
      <c r="AA40" s="73" t="s">
        <v>24</v>
      </c>
      <c r="AB40" s="73" t="s">
        <v>24</v>
      </c>
      <c r="AC40" s="73" t="s">
        <v>24</v>
      </c>
      <c r="AD40" s="73" t="s">
        <v>24</v>
      </c>
    </row>
    <row r="41" spans="1:30" ht="25.5" x14ac:dyDescent="0.2">
      <c r="A41" s="111" t="s">
        <v>27</v>
      </c>
      <c r="B41" s="95"/>
      <c r="C41" s="95"/>
      <c r="D41" s="96" t="s">
        <v>24</v>
      </c>
      <c r="E41" s="95" t="s">
        <v>24</v>
      </c>
      <c r="F41" s="95" t="s">
        <v>24</v>
      </c>
      <c r="G41" s="95" t="s">
        <v>24</v>
      </c>
      <c r="O41" s="122" t="s">
        <v>75</v>
      </c>
      <c r="P41" s="123">
        <f>+P39+P40</f>
        <v>35425</v>
      </c>
      <c r="Q41" s="123">
        <f t="shared" ref="Q41:U41" si="96">+Q39+Q40</f>
        <v>39342</v>
      </c>
      <c r="R41" s="123">
        <f t="shared" si="96"/>
        <v>39453</v>
      </c>
      <c r="S41" s="123">
        <f t="shared" si="96"/>
        <v>41958</v>
      </c>
      <c r="T41" s="123">
        <f t="shared" si="96"/>
        <v>48150</v>
      </c>
      <c r="U41" s="123">
        <f t="shared" si="96"/>
        <v>48178</v>
      </c>
      <c r="X41" s="94" t="s">
        <v>105</v>
      </c>
      <c r="Y41" s="113">
        <v>485</v>
      </c>
      <c r="Z41" s="113">
        <v>393</v>
      </c>
      <c r="AA41" s="113">
        <v>377</v>
      </c>
      <c r="AB41" s="113">
        <v>718</v>
      </c>
      <c r="AC41" s="113">
        <v>316</v>
      </c>
      <c r="AD41" s="113">
        <v>310</v>
      </c>
    </row>
    <row r="42" spans="1:30" x14ac:dyDescent="0.2">
      <c r="A42" s="94" t="s">
        <v>28</v>
      </c>
      <c r="B42" s="95">
        <v>1875</v>
      </c>
      <c r="C42" s="95">
        <v>1948</v>
      </c>
      <c r="D42" s="96">
        <v>1909</v>
      </c>
      <c r="E42" s="95">
        <v>1818</v>
      </c>
      <c r="F42" s="95">
        <v>1813</v>
      </c>
      <c r="G42" s="95">
        <v>1759</v>
      </c>
      <c r="H42" s="149">
        <f>+G42</f>
        <v>1759</v>
      </c>
      <c r="I42" s="152">
        <f t="shared" ref="I42:L42" si="97">+H42</f>
        <v>1759</v>
      </c>
      <c r="J42" s="152">
        <f t="shared" si="97"/>
        <v>1759</v>
      </c>
      <c r="K42" s="152">
        <f t="shared" si="97"/>
        <v>1759</v>
      </c>
      <c r="L42" s="152">
        <f t="shared" si="97"/>
        <v>1759</v>
      </c>
      <c r="O42" s="122" t="s">
        <v>76</v>
      </c>
      <c r="P42" s="125">
        <f>+SUM(P27:P31)+P41</f>
        <v>63117</v>
      </c>
      <c r="Q42" s="125">
        <f t="shared" ref="Q42:U42" si="98">+SUM(Q27:Q31)+Q41</f>
        <v>69206</v>
      </c>
      <c r="R42" s="125">
        <f t="shared" si="98"/>
        <v>72124</v>
      </c>
      <c r="S42" s="125">
        <f t="shared" si="98"/>
        <v>74898</v>
      </c>
      <c r="T42" s="125">
        <f t="shared" si="98"/>
        <v>81241</v>
      </c>
      <c r="U42" s="125">
        <f t="shared" si="98"/>
        <v>84186</v>
      </c>
      <c r="X42" s="94" t="s">
        <v>106</v>
      </c>
      <c r="Y42" s="113">
        <v>1609</v>
      </c>
      <c r="Z42" s="113">
        <v>2170</v>
      </c>
      <c r="AA42" s="113">
        <v>2341</v>
      </c>
      <c r="AB42" s="113">
        <v>2630</v>
      </c>
      <c r="AC42" s="113">
        <v>2531</v>
      </c>
      <c r="AD42" s="113">
        <v>3483</v>
      </c>
    </row>
    <row r="43" spans="1:30" x14ac:dyDescent="0.2">
      <c r="A43" s="94" t="s">
        <v>29</v>
      </c>
      <c r="B43" s="95">
        <v>1856</v>
      </c>
      <c r="C43" s="95">
        <v>1915</v>
      </c>
      <c r="D43" s="96">
        <v>1878</v>
      </c>
      <c r="E43" s="95">
        <v>1794</v>
      </c>
      <c r="F43" s="95">
        <v>1792</v>
      </c>
      <c r="G43" s="95">
        <v>1740</v>
      </c>
      <c r="H43" s="91">
        <v>1740</v>
      </c>
      <c r="I43" s="66">
        <v>1740</v>
      </c>
      <c r="J43" s="66">
        <v>1740</v>
      </c>
      <c r="K43" s="66">
        <v>1740</v>
      </c>
      <c r="L43" s="66">
        <v>1740</v>
      </c>
      <c r="O43" s="67" t="s">
        <v>33</v>
      </c>
      <c r="P43" s="67"/>
      <c r="R43" s="67"/>
    </row>
    <row r="44" spans="1:30" x14ac:dyDescent="0.2">
      <c r="A44" s="94" t="s">
        <v>30</v>
      </c>
      <c r="B44" s="112"/>
      <c r="C44" s="112"/>
      <c r="D44" s="112"/>
      <c r="E44" s="95">
        <v>0.6</v>
      </c>
      <c r="F44" s="95">
        <v>0.75</v>
      </c>
      <c r="G44" s="95">
        <v>0.86</v>
      </c>
    </row>
    <row r="47" spans="1:30" x14ac:dyDescent="0.2">
      <c r="H47" s="77">
        <v>1</v>
      </c>
      <c r="I47" s="69">
        <v>2</v>
      </c>
      <c r="J47" s="69">
        <v>3</v>
      </c>
      <c r="K47" s="69">
        <v>4</v>
      </c>
      <c r="L47" s="69">
        <v>5</v>
      </c>
    </row>
    <row r="48" spans="1:30" ht="13.5" x14ac:dyDescent="0.25">
      <c r="B48" s="131" t="s">
        <v>35</v>
      </c>
      <c r="C48" s="131" t="s">
        <v>34</v>
      </c>
      <c r="D48" s="131" t="s">
        <v>31</v>
      </c>
      <c r="E48" s="131" t="s">
        <v>5</v>
      </c>
      <c r="F48" s="131" t="s">
        <v>4</v>
      </c>
      <c r="G48" s="132" t="s">
        <v>3</v>
      </c>
      <c r="H48" s="79" t="s">
        <v>136</v>
      </c>
      <c r="I48" s="80" t="s">
        <v>137</v>
      </c>
      <c r="J48" s="80" t="s">
        <v>138</v>
      </c>
      <c r="K48" s="80" t="s">
        <v>140</v>
      </c>
      <c r="L48" s="80" t="s">
        <v>139</v>
      </c>
      <c r="O48" s="164" t="s">
        <v>364</v>
      </c>
      <c r="P48" s="165">
        <f>+P49+P51</f>
        <v>3.5439999999999999E-2</v>
      </c>
    </row>
    <row r="49" spans="1:16" x14ac:dyDescent="0.2">
      <c r="A49" s="75" t="s">
        <v>174</v>
      </c>
      <c r="B49" s="76"/>
      <c r="C49" s="76"/>
      <c r="D49" s="76"/>
      <c r="E49" s="76"/>
      <c r="F49" s="76"/>
      <c r="G49" s="130"/>
      <c r="O49" s="164" t="s">
        <v>365</v>
      </c>
      <c r="P49" s="37">
        <v>2.5440000000000001E-2</v>
      </c>
    </row>
    <row r="50" spans="1:16" x14ac:dyDescent="0.2">
      <c r="A50" s="53" t="s">
        <v>175</v>
      </c>
      <c r="O50" s="164" t="s">
        <v>366</v>
      </c>
      <c r="P50" s="164" t="s">
        <v>367</v>
      </c>
    </row>
    <row r="51" spans="1:16" x14ac:dyDescent="0.2">
      <c r="A51" s="53" t="s">
        <v>176</v>
      </c>
      <c r="O51" s="166" t="s">
        <v>368</v>
      </c>
      <c r="P51" s="37">
        <v>0.01</v>
      </c>
    </row>
    <row r="52" spans="1:16" x14ac:dyDescent="0.2">
      <c r="A52" s="53" t="s">
        <v>177</v>
      </c>
      <c r="B52" s="136">
        <f>+P5</f>
        <v>4854</v>
      </c>
      <c r="C52" s="136">
        <f t="shared" ref="C52:G52" si="99">+Q5</f>
        <v>5784</v>
      </c>
      <c r="D52" s="136">
        <f t="shared" si="99"/>
        <v>6182</v>
      </c>
      <c r="E52" s="136">
        <f t="shared" si="99"/>
        <v>6540</v>
      </c>
      <c r="F52" s="136">
        <f t="shared" si="99"/>
        <v>6967</v>
      </c>
      <c r="G52" s="136">
        <f t="shared" si="99"/>
        <v>7822</v>
      </c>
    </row>
    <row r="53" spans="1:16" x14ac:dyDescent="0.2">
      <c r="A53" s="53" t="s">
        <v>178</v>
      </c>
      <c r="B53" s="136">
        <f>+P6</f>
        <v>1271</v>
      </c>
      <c r="C53" s="136">
        <f t="shared" ref="C53:G53" si="100">+Q6</f>
        <v>1442</v>
      </c>
      <c r="D53" s="136">
        <f t="shared" si="100"/>
        <v>1595</v>
      </c>
      <c r="E53" s="136">
        <f t="shared" si="100"/>
        <v>1537</v>
      </c>
      <c r="F53" s="136">
        <f t="shared" si="100"/>
        <v>1487</v>
      </c>
      <c r="G53" s="136">
        <f t="shared" si="100"/>
        <v>1574</v>
      </c>
      <c r="O53" s="166"/>
    </row>
    <row r="54" spans="1:16" x14ac:dyDescent="0.2">
      <c r="A54" s="53" t="s">
        <v>179</v>
      </c>
      <c r="B54" s="137"/>
      <c r="C54" s="137"/>
      <c r="D54" s="137"/>
      <c r="E54" s="137"/>
      <c r="F54" s="137"/>
      <c r="G54" s="137"/>
      <c r="O54" s="166" t="s">
        <v>369</v>
      </c>
      <c r="P54" s="37">
        <f>+P49+P55*P64</f>
        <v>0.13039532941053919</v>
      </c>
    </row>
    <row r="55" spans="1:16" x14ac:dyDescent="0.2">
      <c r="A55" s="53" t="s">
        <v>196</v>
      </c>
      <c r="B55" s="136">
        <f>+P24</f>
        <v>5616</v>
      </c>
      <c r="C55" s="136">
        <f t="shared" ref="C55:G55" si="101">+Q24</f>
        <v>6109</v>
      </c>
      <c r="D55" s="136">
        <f t="shared" si="101"/>
        <v>6362</v>
      </c>
      <c r="E55" s="136">
        <f t="shared" si="101"/>
        <v>6393</v>
      </c>
      <c r="F55" s="136">
        <f t="shared" si="101"/>
        <v>6803</v>
      </c>
      <c r="G55" s="136">
        <f t="shared" si="101"/>
        <v>7595</v>
      </c>
      <c r="O55" s="166" t="s">
        <v>370</v>
      </c>
      <c r="P55" s="53">
        <v>1.57</v>
      </c>
    </row>
    <row r="56" spans="1:16" ht="13.5" thickBot="1" x14ac:dyDescent="0.25">
      <c r="A56" s="74" t="s">
        <v>180</v>
      </c>
      <c r="B56" s="133">
        <f>SUM(B52:B53)-B55</f>
        <v>509</v>
      </c>
      <c r="C56" s="133">
        <f t="shared" ref="C56:G56" si="102">SUM(C52:C53)-C55</f>
        <v>1117</v>
      </c>
      <c r="D56" s="133">
        <f t="shared" si="102"/>
        <v>1415</v>
      </c>
      <c r="E56" s="133">
        <f t="shared" si="102"/>
        <v>1684</v>
      </c>
      <c r="F56" s="133">
        <f t="shared" si="102"/>
        <v>1651</v>
      </c>
      <c r="G56" s="134">
        <f t="shared" si="102"/>
        <v>1801</v>
      </c>
      <c r="O56" s="164" t="s">
        <v>371</v>
      </c>
      <c r="P56" s="37">
        <f>+Sheet1!C2</f>
        <v>0.75326245057669061</v>
      </c>
    </row>
    <row r="57" spans="1:16" ht="13.5" thickTop="1" x14ac:dyDescent="0.2">
      <c r="A57" s="53" t="s">
        <v>181</v>
      </c>
      <c r="C57" s="128">
        <f>+C56-B56</f>
        <v>608</v>
      </c>
      <c r="D57" s="128">
        <f t="shared" ref="D57:G57" si="103">+D56-C56</f>
        <v>298</v>
      </c>
      <c r="E57" s="128">
        <f t="shared" si="103"/>
        <v>269</v>
      </c>
      <c r="F57" s="128">
        <f t="shared" si="103"/>
        <v>-33</v>
      </c>
      <c r="G57" s="128">
        <f t="shared" si="103"/>
        <v>150</v>
      </c>
      <c r="O57" s="164" t="s">
        <v>372</v>
      </c>
      <c r="P57" s="37">
        <f>+Sheet1!C3</f>
        <v>0.13326367975744166</v>
      </c>
    </row>
    <row r="58" spans="1:16" x14ac:dyDescent="0.2">
      <c r="O58" s="164" t="s">
        <v>373</v>
      </c>
      <c r="P58" s="37">
        <f>+Sheet1!C4</f>
        <v>8.0511339192428241E-2</v>
      </c>
    </row>
    <row r="59" spans="1:16" x14ac:dyDescent="0.2">
      <c r="O59" s="164" t="s">
        <v>374</v>
      </c>
      <c r="P59" s="37">
        <f>+Sheet1!C5</f>
        <v>3.2962530473439451E-2</v>
      </c>
    </row>
    <row r="60" spans="1:16" x14ac:dyDescent="0.2">
      <c r="O60" s="164" t="s">
        <v>375</v>
      </c>
      <c r="P60" s="37">
        <f>+Sheet1!D2</f>
        <v>5.7500000000000002E-2</v>
      </c>
    </row>
    <row r="61" spans="1:16" x14ac:dyDescent="0.2">
      <c r="O61" s="164" t="s">
        <v>376</v>
      </c>
      <c r="P61" s="37">
        <f>+Sheet1!D3</f>
        <v>9.0040816326530632E-2</v>
      </c>
    </row>
    <row r="62" spans="1:16" x14ac:dyDescent="0.2">
      <c r="A62" s="53" t="s">
        <v>182</v>
      </c>
      <c r="O62" s="164" t="s">
        <v>377</v>
      </c>
      <c r="P62" s="37">
        <f>+Sheet1!D4</f>
        <v>9.6214285714285724E-2</v>
      </c>
    </row>
    <row r="63" spans="1:16" ht="25.5" x14ac:dyDescent="0.2">
      <c r="A63" s="57" t="s">
        <v>88</v>
      </c>
      <c r="B63" s="138">
        <f t="shared" ref="B63:G66" si="104">(+Y22)*-1</f>
        <v>1753</v>
      </c>
      <c r="C63" s="138">
        <f t="shared" si="104"/>
        <v>2110</v>
      </c>
      <c r="D63" s="138">
        <f t="shared" si="104"/>
        <v>3559</v>
      </c>
      <c r="E63" s="138">
        <f t="shared" si="104"/>
        <v>3784</v>
      </c>
      <c r="F63" s="138">
        <f t="shared" si="104"/>
        <v>2796</v>
      </c>
      <c r="G63" s="138">
        <f t="shared" si="104"/>
        <v>3311</v>
      </c>
      <c r="O63" s="164" t="s">
        <v>378</v>
      </c>
      <c r="P63" s="37">
        <f>+Sheet1!D5</f>
        <v>0.11505263157894734</v>
      </c>
    </row>
    <row r="64" spans="1:16" ht="25.5" x14ac:dyDescent="0.2">
      <c r="A64" s="57" t="s">
        <v>89</v>
      </c>
      <c r="B64" s="138">
        <f t="shared" si="104"/>
        <v>-185</v>
      </c>
      <c r="C64" s="138">
        <f t="shared" si="104"/>
        <v>-170</v>
      </c>
      <c r="D64" s="138">
        <f t="shared" si="104"/>
        <v>-564</v>
      </c>
      <c r="E64" s="138">
        <f t="shared" si="104"/>
        <v>-110</v>
      </c>
      <c r="F64" s="138">
        <f t="shared" si="104"/>
        <v>-479</v>
      </c>
      <c r="G64" s="138">
        <f t="shared" si="104"/>
        <v>-395</v>
      </c>
      <c r="O64" s="164" t="s">
        <v>379</v>
      </c>
      <c r="P64" s="37">
        <f>+(P56*P60)+(P57*P61)+(P58*P62)+(P59*P63)</f>
        <v>6.6850528286967636E-2</v>
      </c>
    </row>
    <row r="65" spans="1:16" x14ac:dyDescent="0.2">
      <c r="A65" s="57" t="s">
        <v>90</v>
      </c>
      <c r="B65" s="138">
        <f t="shared" si="104"/>
        <v>176</v>
      </c>
      <c r="C65" s="138">
        <f t="shared" si="104"/>
        <v>2493</v>
      </c>
      <c r="D65" s="138">
        <f t="shared" si="104"/>
        <v>184</v>
      </c>
      <c r="E65" s="138">
        <f t="shared" si="104"/>
        <v>1088</v>
      </c>
      <c r="F65" s="138">
        <f t="shared" si="104"/>
        <v>2443</v>
      </c>
      <c r="G65" s="138">
        <f t="shared" si="104"/>
        <v>402</v>
      </c>
    </row>
    <row r="66" spans="1:16" x14ac:dyDescent="0.2">
      <c r="A66" s="57" t="s">
        <v>91</v>
      </c>
      <c r="B66" s="138">
        <f t="shared" si="104"/>
        <v>11</v>
      </c>
      <c r="C66" s="138">
        <f t="shared" si="104"/>
        <v>90</v>
      </c>
      <c r="D66" s="138">
        <f t="shared" si="104"/>
        <v>107</v>
      </c>
      <c r="E66" s="138">
        <f t="shared" si="104"/>
        <v>-3</v>
      </c>
      <c r="F66" s="138">
        <f t="shared" si="104"/>
        <v>-84</v>
      </c>
      <c r="G66" s="138">
        <f t="shared" si="104"/>
        <v>27</v>
      </c>
      <c r="O66" s="164"/>
    </row>
    <row r="67" spans="1:16" ht="13.5" thickBot="1" x14ac:dyDescent="0.25">
      <c r="A67" s="74" t="s">
        <v>183</v>
      </c>
      <c r="B67" s="74">
        <f>SUM(B63:B66)</f>
        <v>1755</v>
      </c>
      <c r="C67" s="74">
        <f t="shared" ref="C67:D67" si="105">SUM(C63:C66)</f>
        <v>4523</v>
      </c>
      <c r="D67" s="74">
        <f t="shared" si="105"/>
        <v>3286</v>
      </c>
      <c r="E67" s="74">
        <f>SUM(E63:E66)</f>
        <v>4759</v>
      </c>
      <c r="F67" s="74">
        <f t="shared" ref="F67" si="106">SUM(F63:F66)</f>
        <v>4676</v>
      </c>
      <c r="G67" s="135">
        <f t="shared" ref="G67" si="107">SUM(G63:G66)</f>
        <v>3345</v>
      </c>
      <c r="O67" s="164" t="s">
        <v>380</v>
      </c>
      <c r="P67" s="37">
        <f>+(P71*P48*(1-0.35))+(P72*P54)</f>
        <v>0.12219388573478297</v>
      </c>
    </row>
    <row r="68" spans="1:16" ht="13.5" thickTop="1" x14ac:dyDescent="0.2">
      <c r="O68" s="164" t="s">
        <v>381</v>
      </c>
      <c r="P68" s="184">
        <f>+U25+U28</f>
        <v>14840</v>
      </c>
    </row>
    <row r="69" spans="1:16" x14ac:dyDescent="0.2">
      <c r="O69" s="164" t="s">
        <v>382</v>
      </c>
      <c r="P69" s="184">
        <v>179420</v>
      </c>
    </row>
    <row r="70" spans="1:16" x14ac:dyDescent="0.2">
      <c r="A70" s="53" t="s">
        <v>195</v>
      </c>
      <c r="B70" s="37">
        <f>+-B33/B32</f>
        <v>0.36214209968186639</v>
      </c>
      <c r="C70" s="37">
        <f t="shared" ref="C70:G70" si="108">+-C33/C32</f>
        <v>0.3491776067602233</v>
      </c>
      <c r="D70" s="37">
        <f t="shared" si="108"/>
        <v>0.34626383190351862</v>
      </c>
      <c r="E70" s="37">
        <f t="shared" si="108"/>
        <v>0.33336933045356371</v>
      </c>
      <c r="F70" s="37">
        <f t="shared" si="108"/>
        <v>0.3101871101871102</v>
      </c>
      <c r="G70" s="37">
        <f t="shared" si="108"/>
        <v>0.34637053972401405</v>
      </c>
      <c r="O70" s="164"/>
    </row>
    <row r="71" spans="1:16" x14ac:dyDescent="0.2">
      <c r="A71" s="53" t="s">
        <v>184</v>
      </c>
      <c r="B71" s="128">
        <f>+B29*(1-B70)</f>
        <v>3906.2417815482504</v>
      </c>
      <c r="C71" s="128">
        <f t="shared" ref="C71:G71" si="109">+C29*(1-C70)</f>
        <v>4579.1863588350689</v>
      </c>
      <c r="D71" s="128">
        <f t="shared" si="109"/>
        <v>5482.2315056570933</v>
      </c>
      <c r="E71" s="128">
        <f t="shared" si="109"/>
        <v>6418.9867170626358</v>
      </c>
      <c r="F71" s="128">
        <f t="shared" si="109"/>
        <v>6798.1060291060294</v>
      </c>
      <c r="G71" s="128">
        <f t="shared" si="109"/>
        <v>7989.9665224136534</v>
      </c>
      <c r="H71" s="77">
        <f>+H29*(1-0.35)</f>
        <v>7588.9104482668472</v>
      </c>
      <c r="I71" s="69">
        <f t="shared" ref="I71:L71" si="110">+I29*(1-0.35)</f>
        <v>8281.5098471027595</v>
      </c>
      <c r="J71" s="69">
        <f t="shared" si="110"/>
        <v>9338.5416594771159</v>
      </c>
      <c r="K71" s="69">
        <f t="shared" si="110"/>
        <v>9688.2853867664544</v>
      </c>
      <c r="L71" s="69">
        <f t="shared" si="110"/>
        <v>10070.984855951578</v>
      </c>
      <c r="O71" s="166" t="s">
        <v>383</v>
      </c>
      <c r="P71" s="37">
        <f>+P68/(P68+P69)</f>
        <v>7.6392463708432001E-2</v>
      </c>
    </row>
    <row r="72" spans="1:16" x14ac:dyDescent="0.2">
      <c r="A72" s="53" t="s">
        <v>185</v>
      </c>
      <c r="B72" s="136">
        <f>+Y5</f>
        <v>1631</v>
      </c>
      <c r="C72" s="136">
        <f t="shared" ref="C72:G72" si="111">+Z5</f>
        <v>1713</v>
      </c>
      <c r="D72" s="136">
        <f t="shared" si="111"/>
        <v>1841</v>
      </c>
      <c r="E72" s="136">
        <f t="shared" si="111"/>
        <v>1987</v>
      </c>
      <c r="F72" s="136">
        <f t="shared" si="111"/>
        <v>2192</v>
      </c>
      <c r="G72" s="136">
        <f t="shared" si="111"/>
        <v>2288</v>
      </c>
      <c r="H72" s="149">
        <f>+'int exp + dep forecast'!L24</f>
        <v>2709.642502345117</v>
      </c>
      <c r="I72" s="152">
        <f>+'int exp + dep forecast'!M24</f>
        <v>3121.7129977234858</v>
      </c>
      <c r="J72" s="152">
        <f>+'int exp + dep forecast'!N24</f>
        <v>3554.7931568486802</v>
      </c>
      <c r="K72" s="152">
        <f>+'int exp + dep forecast'!O24</f>
        <v>4010.3739992986652</v>
      </c>
      <c r="L72" s="152">
        <f>+'int exp + dep forecast'!P24</f>
        <v>4490.0760965881382</v>
      </c>
      <c r="O72" s="164" t="s">
        <v>384</v>
      </c>
      <c r="P72" s="37">
        <f>+P69/(P68+P69)</f>
        <v>0.923607536291568</v>
      </c>
    </row>
    <row r="73" spans="1:16" ht="13.5" thickBot="1" x14ac:dyDescent="0.25">
      <c r="A73" s="74" t="s">
        <v>122</v>
      </c>
      <c r="B73" s="139">
        <f>+B71+B72</f>
        <v>5537.2417815482504</v>
      </c>
      <c r="C73" s="139">
        <f t="shared" ref="C73:L73" si="112">+C71+C72</f>
        <v>6292.1863588350689</v>
      </c>
      <c r="D73" s="139">
        <f t="shared" si="112"/>
        <v>7323.2315056570933</v>
      </c>
      <c r="E73" s="139">
        <f t="shared" si="112"/>
        <v>8405.9867170626349</v>
      </c>
      <c r="F73" s="139">
        <f t="shared" si="112"/>
        <v>8990.1060291060294</v>
      </c>
      <c r="G73" s="140">
        <f t="shared" si="112"/>
        <v>10277.966522413653</v>
      </c>
      <c r="H73" s="167">
        <f t="shared" si="112"/>
        <v>10298.552950611964</v>
      </c>
      <c r="I73" s="167">
        <f t="shared" si="112"/>
        <v>11403.222844826245</v>
      </c>
      <c r="J73" s="167">
        <f t="shared" si="112"/>
        <v>12893.334816325796</v>
      </c>
      <c r="K73" s="167">
        <f t="shared" si="112"/>
        <v>13698.659386065119</v>
      </c>
      <c r="L73" s="167">
        <f t="shared" si="112"/>
        <v>14561.060952539716</v>
      </c>
    </row>
    <row r="74" spans="1:16" ht="13.5" thickTop="1" x14ac:dyDescent="0.2">
      <c r="B74" s="136"/>
      <c r="C74" s="136"/>
      <c r="D74" s="136"/>
      <c r="E74" s="136"/>
      <c r="F74" s="136"/>
      <c r="G74" s="136"/>
    </row>
    <row r="75" spans="1:16" x14ac:dyDescent="0.2">
      <c r="B75" s="136"/>
      <c r="C75" s="136"/>
      <c r="D75" s="136"/>
      <c r="E75" s="136"/>
      <c r="F75" s="136"/>
      <c r="G75" s="136"/>
      <c r="O75" s="164" t="s">
        <v>385</v>
      </c>
      <c r="P75" s="37">
        <f>SUM(C57:G57)/SUM(C13:G13)</f>
        <v>6.0068157832339174E-3</v>
      </c>
    </row>
    <row r="76" spans="1:16" x14ac:dyDescent="0.2">
      <c r="B76" s="136"/>
      <c r="C76" s="136"/>
      <c r="D76" s="136"/>
      <c r="E76" s="136"/>
      <c r="F76" s="136"/>
      <c r="G76" s="136"/>
      <c r="O76" s="164" t="s">
        <v>386</v>
      </c>
      <c r="P76" s="37">
        <f>SUM(C67:G67)/SUM(C13:G13)</f>
        <v>9.5723165759290338E-2</v>
      </c>
    </row>
    <row r="77" spans="1:16" x14ac:dyDescent="0.2">
      <c r="A77" s="141" t="s">
        <v>122</v>
      </c>
      <c r="B77" s="142">
        <f>+B73</f>
        <v>5537.2417815482504</v>
      </c>
      <c r="C77" s="142">
        <f t="shared" ref="C77:G77" si="113">+C73</f>
        <v>6292.1863588350689</v>
      </c>
      <c r="D77" s="142">
        <f t="shared" si="113"/>
        <v>7323.2315056570933</v>
      </c>
      <c r="E77" s="142">
        <f t="shared" si="113"/>
        <v>8405.9867170626349</v>
      </c>
      <c r="F77" s="142">
        <f t="shared" si="113"/>
        <v>8990.1060291060294</v>
      </c>
      <c r="G77" s="142">
        <f t="shared" si="113"/>
        <v>10277.966522413653</v>
      </c>
      <c r="H77" s="168">
        <f>+H73</f>
        <v>10298.552950611964</v>
      </c>
      <c r="I77" s="169">
        <f t="shared" ref="I77:L77" si="114">+I73</f>
        <v>11403.222844826245</v>
      </c>
      <c r="J77" s="169">
        <f t="shared" si="114"/>
        <v>12893.334816325796</v>
      </c>
      <c r="K77" s="169">
        <f t="shared" si="114"/>
        <v>13698.659386065119</v>
      </c>
      <c r="L77" s="169">
        <f t="shared" si="114"/>
        <v>14561.060952539716</v>
      </c>
      <c r="O77" s="164" t="s">
        <v>387</v>
      </c>
      <c r="P77" s="52">
        <v>0.09</v>
      </c>
    </row>
    <row r="78" spans="1:16" x14ac:dyDescent="0.2">
      <c r="A78" s="141" t="s">
        <v>181</v>
      </c>
      <c r="B78" s="141"/>
      <c r="C78" s="143">
        <f>+C57</f>
        <v>608</v>
      </c>
      <c r="D78" s="143">
        <f>+D57</f>
        <v>298</v>
      </c>
      <c r="E78" s="143">
        <f>+E57</f>
        <v>269</v>
      </c>
      <c r="F78" s="143">
        <f>+F57</f>
        <v>-33</v>
      </c>
      <c r="G78" s="143">
        <f>+G57</f>
        <v>150</v>
      </c>
      <c r="H78" s="170">
        <f>+H13*$P$75</f>
        <v>320.59252830223772</v>
      </c>
      <c r="I78" s="171">
        <f t="shared" ref="I78:L78" si="115">+I13*$P$75</f>
        <v>353.23359410104661</v>
      </c>
      <c r="J78" s="171">
        <f t="shared" si="115"/>
        <v>371.2434228060385</v>
      </c>
      <c r="K78" s="171">
        <f t="shared" si="115"/>
        <v>390.53137797314491</v>
      </c>
      <c r="L78" s="171">
        <f t="shared" si="115"/>
        <v>411.20851364954433</v>
      </c>
    </row>
    <row r="79" spans="1:16" x14ac:dyDescent="0.2">
      <c r="A79" s="141" t="s">
        <v>183</v>
      </c>
      <c r="B79" s="141"/>
      <c r="C79" s="141">
        <f>+C67</f>
        <v>4523</v>
      </c>
      <c r="D79" s="141">
        <f t="shared" ref="D79:G79" si="116">+D67</f>
        <v>3286</v>
      </c>
      <c r="E79" s="141">
        <f t="shared" si="116"/>
        <v>4759</v>
      </c>
      <c r="F79" s="141">
        <f t="shared" si="116"/>
        <v>4676</v>
      </c>
      <c r="G79" s="141">
        <f t="shared" si="116"/>
        <v>3345</v>
      </c>
      <c r="H79" s="170">
        <f>+H13*$P$76</f>
        <v>5108.8851123953345</v>
      </c>
      <c r="I79" s="171">
        <f t="shared" ref="I79:L79" si="117">+I13*$P$76</f>
        <v>5629.0452546025144</v>
      </c>
      <c r="J79" s="171">
        <f t="shared" si="117"/>
        <v>5916.0455357225437</v>
      </c>
      <c r="K79" s="171">
        <f t="shared" si="117"/>
        <v>6223.4137314930958</v>
      </c>
      <c r="L79" s="171">
        <f t="shared" si="117"/>
        <v>6552.9195723920029</v>
      </c>
    </row>
    <row r="80" spans="1:16" ht="13.5" thickBot="1" x14ac:dyDescent="0.25">
      <c r="A80" s="144" t="s">
        <v>186</v>
      </c>
      <c r="B80" s="144"/>
      <c r="C80" s="145">
        <f>+C77-C78-C79</f>
        <v>1161.1863588350689</v>
      </c>
      <c r="D80" s="145">
        <f t="shared" ref="D80:H80" si="118">+D77-D78-D79</f>
        <v>3739.2315056570933</v>
      </c>
      <c r="E80" s="145">
        <f t="shared" si="118"/>
        <v>3377.9867170626349</v>
      </c>
      <c r="F80" s="145">
        <f t="shared" si="118"/>
        <v>4347.1060291060294</v>
      </c>
      <c r="G80" s="145">
        <f t="shared" si="118"/>
        <v>6782.9665224136534</v>
      </c>
      <c r="H80" s="177">
        <f t="shared" si="118"/>
        <v>4869.0753099143922</v>
      </c>
      <c r="I80" s="176">
        <f t="shared" ref="I80:L80" si="119">+I77-I78-I79</f>
        <v>5420.9439961226844</v>
      </c>
      <c r="J80" s="176">
        <f t="shared" si="119"/>
        <v>6606.0458577972131</v>
      </c>
      <c r="K80" s="176">
        <f t="shared" si="119"/>
        <v>7084.7142765988792</v>
      </c>
      <c r="L80" s="176">
        <f t="shared" si="119"/>
        <v>7596.9328664981686</v>
      </c>
    </row>
    <row r="81" spans="1:14" ht="14.25" thickTop="1" x14ac:dyDescent="0.25">
      <c r="H81" s="178"/>
      <c r="L81" s="69">
        <f>+L80*(1+P77)/(P67-P77)</f>
        <v>257212.0958836728</v>
      </c>
      <c r="M81" s="172" t="s">
        <v>388</v>
      </c>
      <c r="N81" s="173" t="s">
        <v>389</v>
      </c>
    </row>
    <row r="82" spans="1:14" ht="13.5" x14ac:dyDescent="0.25">
      <c r="C82" s="128"/>
      <c r="D82" s="128"/>
      <c r="E82" s="128"/>
      <c r="F82" s="128"/>
      <c r="G82" s="128"/>
      <c r="H82" s="149">
        <f>+H80+H81</f>
        <v>4869.0753099143922</v>
      </c>
      <c r="I82" s="179">
        <f t="shared" ref="I82:L82" si="120">+I80+I81</f>
        <v>5420.9439961226844</v>
      </c>
      <c r="J82" s="179">
        <f t="shared" si="120"/>
        <v>6606.0458577972131</v>
      </c>
      <c r="K82" s="179">
        <f t="shared" si="120"/>
        <v>7084.7142765988792</v>
      </c>
      <c r="L82" s="179">
        <f t="shared" si="120"/>
        <v>264809.02875017095</v>
      </c>
      <c r="M82" s="172" t="s">
        <v>388</v>
      </c>
      <c r="N82" s="173" t="s">
        <v>390</v>
      </c>
    </row>
    <row r="84" spans="1:14" ht="13.5" x14ac:dyDescent="0.25">
      <c r="A84" s="53" t="s">
        <v>187</v>
      </c>
      <c r="H84" s="149">
        <f>-PV($P$67,H47,0,H82)</f>
        <v>4338.8895375474704</v>
      </c>
      <c r="I84" s="152">
        <f t="shared" ref="I84:L84" si="121">-PV($P$67,I47,0,I82)</f>
        <v>4304.6626722061883</v>
      </c>
      <c r="J84" s="152">
        <f t="shared" si="121"/>
        <v>4674.5293375580295</v>
      </c>
      <c r="K84" s="152">
        <f t="shared" si="121"/>
        <v>4467.3579041217436</v>
      </c>
      <c r="L84" s="152">
        <f t="shared" si="121"/>
        <v>148796.6993976919</v>
      </c>
      <c r="M84" s="172" t="s">
        <v>388</v>
      </c>
      <c r="N84" s="173" t="s">
        <v>391</v>
      </c>
    </row>
    <row r="85" spans="1:14" ht="25.5" x14ac:dyDescent="0.2">
      <c r="A85" s="57" t="s">
        <v>94</v>
      </c>
      <c r="B85" s="137">
        <f t="shared" ref="B85:G87" si="122">((+Y28)*-1)*-1</f>
        <v>-1985</v>
      </c>
      <c r="C85" s="137">
        <f t="shared" si="122"/>
        <v>1190</v>
      </c>
      <c r="D85" s="137">
        <f t="shared" si="122"/>
        <v>393</v>
      </c>
      <c r="E85" s="137">
        <f t="shared" si="122"/>
        <v>467</v>
      </c>
      <c r="F85" s="137">
        <f t="shared" si="122"/>
        <v>-2050</v>
      </c>
      <c r="G85" s="137">
        <f t="shared" si="122"/>
        <v>50</v>
      </c>
    </row>
    <row r="86" spans="1:14" ht="13.5" x14ac:dyDescent="0.25">
      <c r="A86" s="57" t="s">
        <v>62</v>
      </c>
      <c r="B86" s="137">
        <f t="shared" si="122"/>
        <v>1750</v>
      </c>
      <c r="C86" s="137">
        <f t="shared" si="122"/>
        <v>0</v>
      </c>
      <c r="D86" s="137">
        <f t="shared" si="122"/>
        <v>2350</v>
      </c>
      <c r="E86" s="137">
        <f t="shared" si="122"/>
        <v>3779</v>
      </c>
      <c r="F86" s="137">
        <f t="shared" si="122"/>
        <v>3931</v>
      </c>
      <c r="G86" s="137">
        <f t="shared" si="122"/>
        <v>2231</v>
      </c>
      <c r="L86" s="152">
        <f>+SUM(H84:L84)</f>
        <v>166582.13884912533</v>
      </c>
      <c r="M86" s="172" t="s">
        <v>388</v>
      </c>
      <c r="N86" s="174" t="s">
        <v>392</v>
      </c>
    </row>
    <row r="87" spans="1:14" ht="13.5" x14ac:dyDescent="0.25">
      <c r="A87" s="57" t="s">
        <v>95</v>
      </c>
      <c r="B87" s="137">
        <f t="shared" si="122"/>
        <v>-1617</v>
      </c>
      <c r="C87" s="137">
        <f t="shared" si="122"/>
        <v>-1371</v>
      </c>
      <c r="D87" s="137">
        <f t="shared" si="122"/>
        <v>-1096</v>
      </c>
      <c r="E87" s="137">
        <f t="shared" si="122"/>
        <v>-3822</v>
      </c>
      <c r="F87" s="137">
        <f t="shared" si="122"/>
        <v>-1502</v>
      </c>
      <c r="G87" s="137">
        <f t="shared" si="122"/>
        <v>-1648</v>
      </c>
      <c r="L87" s="152">
        <f>+L86-P68</f>
        <v>151742.13884912533</v>
      </c>
      <c r="M87" s="172" t="s">
        <v>388</v>
      </c>
      <c r="N87" s="175" t="s">
        <v>393</v>
      </c>
    </row>
    <row r="88" spans="1:14" ht="14.25" thickBot="1" x14ac:dyDescent="0.3">
      <c r="A88" s="74" t="s">
        <v>188</v>
      </c>
      <c r="B88" s="74">
        <f>+SUM(B85:B87)</f>
        <v>-1852</v>
      </c>
      <c r="C88" s="74">
        <f t="shared" ref="C88:G88" si="123">+SUM(C85:C87)</f>
        <v>-181</v>
      </c>
      <c r="D88" s="74">
        <f t="shared" si="123"/>
        <v>1647</v>
      </c>
      <c r="E88" s="74">
        <f t="shared" si="123"/>
        <v>424</v>
      </c>
      <c r="F88" s="74">
        <f t="shared" si="123"/>
        <v>379</v>
      </c>
      <c r="G88" s="135">
        <f t="shared" si="123"/>
        <v>633</v>
      </c>
      <c r="L88" s="180">
        <f>+L87/G42</f>
        <v>86.266139197910931</v>
      </c>
      <c r="M88" s="172" t="s">
        <v>388</v>
      </c>
      <c r="N88" s="175" t="s">
        <v>394</v>
      </c>
    </row>
    <row r="89" spans="1:14" ht="13.5" thickTop="1" x14ac:dyDescent="0.2"/>
    <row r="91" spans="1:14" x14ac:dyDescent="0.2">
      <c r="A91" s="141" t="s">
        <v>189</v>
      </c>
      <c r="B91" s="146">
        <f>+B36</f>
        <v>3307</v>
      </c>
      <c r="C91" s="146">
        <f>+C36</f>
        <v>3963</v>
      </c>
      <c r="D91" s="146">
        <f t="shared" ref="D91:G91" si="124">+D36</f>
        <v>4807</v>
      </c>
      <c r="E91" s="146">
        <f t="shared" si="124"/>
        <v>5682</v>
      </c>
      <c r="F91" s="146">
        <f t="shared" si="124"/>
        <v>6136</v>
      </c>
      <c r="G91" s="146">
        <f t="shared" si="124"/>
        <v>7502</v>
      </c>
    </row>
    <row r="92" spans="1:14" ht="13.5" x14ac:dyDescent="0.25">
      <c r="A92" s="141" t="s">
        <v>185</v>
      </c>
      <c r="B92" s="146">
        <f>+Y5</f>
        <v>1631</v>
      </c>
      <c r="C92" s="146">
        <f>+Z5</f>
        <v>1713</v>
      </c>
      <c r="D92" s="146">
        <f t="shared" ref="D92:G92" si="125">+AA5</f>
        <v>1841</v>
      </c>
      <c r="E92" s="146">
        <f t="shared" si="125"/>
        <v>1987</v>
      </c>
      <c r="F92" s="146">
        <f t="shared" si="125"/>
        <v>2192</v>
      </c>
      <c r="G92" s="146">
        <f t="shared" si="125"/>
        <v>2288</v>
      </c>
      <c r="I92" s="182" t="s">
        <v>395</v>
      </c>
      <c r="J92" s="182"/>
      <c r="K92" s="182"/>
      <c r="L92" s="183"/>
    </row>
    <row r="93" spans="1:14" ht="13.5" x14ac:dyDescent="0.25">
      <c r="A93" s="141" t="s">
        <v>181</v>
      </c>
      <c r="B93" s="141"/>
      <c r="C93" s="143">
        <f>+C57</f>
        <v>608</v>
      </c>
      <c r="D93" s="143">
        <f t="shared" ref="D93:G93" si="126">+D57</f>
        <v>298</v>
      </c>
      <c r="E93" s="143">
        <f t="shared" si="126"/>
        <v>269</v>
      </c>
      <c r="F93" s="143">
        <f t="shared" si="126"/>
        <v>-33</v>
      </c>
      <c r="G93" s="143">
        <f t="shared" si="126"/>
        <v>150</v>
      </c>
      <c r="I93" s="181" t="s">
        <v>396</v>
      </c>
      <c r="J93" s="181"/>
      <c r="K93" s="181"/>
    </row>
    <row r="94" spans="1:14" ht="13.5" x14ac:dyDescent="0.25">
      <c r="A94" s="141" t="s">
        <v>183</v>
      </c>
      <c r="B94" s="141">
        <f>+B67</f>
        <v>1755</v>
      </c>
      <c r="C94" s="141">
        <f>+C67</f>
        <v>4523</v>
      </c>
      <c r="D94" s="141">
        <f t="shared" ref="D94:G94" si="127">+D67</f>
        <v>3286</v>
      </c>
      <c r="E94" s="141">
        <f t="shared" si="127"/>
        <v>4759</v>
      </c>
      <c r="F94" s="141">
        <f t="shared" si="127"/>
        <v>4676</v>
      </c>
      <c r="G94" s="141">
        <f t="shared" si="127"/>
        <v>3345</v>
      </c>
      <c r="I94" s="181"/>
      <c r="J94" s="181"/>
      <c r="K94" s="181"/>
    </row>
    <row r="95" spans="1:14" ht="13.5" x14ac:dyDescent="0.25">
      <c r="A95" s="147" t="s">
        <v>190</v>
      </c>
      <c r="B95" s="141">
        <f>+B88</f>
        <v>-1852</v>
      </c>
      <c r="C95" s="141">
        <f>+C88</f>
        <v>-181</v>
      </c>
      <c r="D95" s="141">
        <f t="shared" ref="D95:G95" si="128">+D88</f>
        <v>1647</v>
      </c>
      <c r="E95" s="141">
        <f t="shared" si="128"/>
        <v>424</v>
      </c>
      <c r="F95" s="141">
        <f t="shared" si="128"/>
        <v>379</v>
      </c>
      <c r="G95" s="141">
        <f t="shared" si="128"/>
        <v>633</v>
      </c>
      <c r="I95" s="181" t="s">
        <v>397</v>
      </c>
      <c r="J95" s="181"/>
      <c r="K95" s="181"/>
    </row>
    <row r="96" spans="1:14" ht="14.25" thickBot="1" x14ac:dyDescent="0.3">
      <c r="A96" s="144" t="s">
        <v>191</v>
      </c>
      <c r="B96" s="144"/>
      <c r="C96" s="145">
        <f>+C91+C92-C94-C93+C95</f>
        <v>364</v>
      </c>
      <c r="D96" s="145">
        <f t="shared" ref="D96:G96" si="129">+D91+D92-D94-D93+D95</f>
        <v>4711</v>
      </c>
      <c r="E96" s="145">
        <f t="shared" si="129"/>
        <v>3065</v>
      </c>
      <c r="F96" s="145">
        <f t="shared" si="129"/>
        <v>4064</v>
      </c>
      <c r="G96" s="148">
        <f t="shared" si="129"/>
        <v>6928</v>
      </c>
      <c r="I96" s="181"/>
      <c r="J96" s="181" t="s">
        <v>398</v>
      </c>
      <c r="K96" s="181"/>
    </row>
    <row r="97" spans="1:12" ht="14.25" thickTop="1" x14ac:dyDescent="0.25">
      <c r="I97" s="181"/>
      <c r="J97" s="181"/>
      <c r="K97" s="181"/>
    </row>
    <row r="98" spans="1:12" ht="13.5" x14ac:dyDescent="0.25">
      <c r="A98" s="53" t="s">
        <v>192</v>
      </c>
      <c r="B98" s="137">
        <f t="shared" ref="B98:G99" si="130">(+Y31)*-1</f>
        <v>648</v>
      </c>
      <c r="C98" s="137">
        <f t="shared" si="130"/>
        <v>653</v>
      </c>
      <c r="D98" s="137">
        <f t="shared" si="130"/>
        <v>756</v>
      </c>
      <c r="E98" s="137">
        <f t="shared" si="130"/>
        <v>1076</v>
      </c>
      <c r="F98" s="137">
        <f t="shared" si="130"/>
        <v>1324</v>
      </c>
      <c r="G98" s="137">
        <f t="shared" si="130"/>
        <v>1508</v>
      </c>
      <c r="I98" s="181"/>
      <c r="J98" s="181" t="s">
        <v>399</v>
      </c>
      <c r="K98" s="181"/>
    </row>
    <row r="99" spans="1:12" ht="13.5" x14ac:dyDescent="0.25">
      <c r="A99" s="129" t="s">
        <v>193</v>
      </c>
      <c r="B99" s="137">
        <f t="shared" si="130"/>
        <v>138</v>
      </c>
      <c r="C99" s="137">
        <f t="shared" si="130"/>
        <v>2669</v>
      </c>
      <c r="D99" s="137">
        <f t="shared" si="130"/>
        <v>4993</v>
      </c>
      <c r="E99" s="137">
        <f t="shared" si="130"/>
        <v>3015</v>
      </c>
      <c r="F99" s="137">
        <f t="shared" si="130"/>
        <v>4087</v>
      </c>
      <c r="G99" s="137">
        <f t="shared" si="130"/>
        <v>6527</v>
      </c>
      <c r="I99" s="181"/>
      <c r="J99" s="181"/>
      <c r="K99" s="181" t="s">
        <v>400</v>
      </c>
    </row>
    <row r="100" spans="1:12" ht="14.25" thickBot="1" x14ac:dyDescent="0.3">
      <c r="A100" s="74" t="s">
        <v>194</v>
      </c>
      <c r="B100" s="74">
        <f>+B98+B99</f>
        <v>786</v>
      </c>
      <c r="C100" s="74">
        <f t="shared" ref="C100:G100" si="131">+C98+C99</f>
        <v>3322</v>
      </c>
      <c r="D100" s="74">
        <f t="shared" si="131"/>
        <v>5749</v>
      </c>
      <c r="E100" s="74">
        <f t="shared" si="131"/>
        <v>4091</v>
      </c>
      <c r="F100" s="74">
        <f t="shared" si="131"/>
        <v>5411</v>
      </c>
      <c r="G100" s="135">
        <f t="shared" si="131"/>
        <v>8035</v>
      </c>
      <c r="I100" s="181"/>
      <c r="J100" s="181"/>
      <c r="K100" s="181" t="s">
        <v>401</v>
      </c>
    </row>
    <row r="101" spans="1:12" ht="14.25" thickTop="1" x14ac:dyDescent="0.25">
      <c r="L101" s="181" t="s">
        <v>402</v>
      </c>
    </row>
    <row r="102" spans="1:12" ht="13.5" x14ac:dyDescent="0.25">
      <c r="L102" s="181" t="s">
        <v>403</v>
      </c>
    </row>
    <row r="103" spans="1:12" ht="13.5" x14ac:dyDescent="0.25">
      <c r="A103" s="53" t="s">
        <v>197</v>
      </c>
      <c r="B103" s="37">
        <f>+B98/B91</f>
        <v>0.1959479891140006</v>
      </c>
      <c r="C103" s="37">
        <f t="shared" ref="C103:G103" si="132">+C98/C91</f>
        <v>0.16477416098914963</v>
      </c>
      <c r="D103" s="37">
        <f t="shared" si="132"/>
        <v>0.15727064697316415</v>
      </c>
      <c r="E103" s="37">
        <f t="shared" si="132"/>
        <v>0.18936994016191483</v>
      </c>
      <c r="F103" s="37">
        <f t="shared" si="132"/>
        <v>0.21577574967405475</v>
      </c>
      <c r="G103" s="37">
        <f t="shared" si="132"/>
        <v>0.20101306318315115</v>
      </c>
      <c r="L103" s="181" t="s">
        <v>404</v>
      </c>
    </row>
    <row r="104" spans="1:12" ht="13.5" x14ac:dyDescent="0.25">
      <c r="A104" s="53" t="s">
        <v>198</v>
      </c>
      <c r="B104" s="37">
        <f>1-B103</f>
        <v>0.80405201088599942</v>
      </c>
      <c r="C104" s="37">
        <f t="shared" ref="C104:G104" si="133">1-C103</f>
        <v>0.83522583901085035</v>
      </c>
      <c r="D104" s="37">
        <f t="shared" si="133"/>
        <v>0.84272935302683583</v>
      </c>
      <c r="E104" s="37">
        <f t="shared" si="133"/>
        <v>0.81063005983808512</v>
      </c>
      <c r="F104" s="37">
        <f t="shared" si="133"/>
        <v>0.78422425032594523</v>
      </c>
      <c r="G104" s="37">
        <f t="shared" si="133"/>
        <v>0.79898693681684885</v>
      </c>
      <c r="L104" s="181" t="s">
        <v>405</v>
      </c>
    </row>
    <row r="105" spans="1:12" x14ac:dyDescent="0.2">
      <c r="A105" s="53" t="s">
        <v>115</v>
      </c>
      <c r="B105" s="37">
        <f>+B67/B73</f>
        <v>0.31694480198574426</v>
      </c>
      <c r="C105" s="37">
        <f t="shared" ref="C105:G105" si="134">+C67/C73</f>
        <v>0.71882804196495309</v>
      </c>
      <c r="D105" s="37">
        <f t="shared" si="134"/>
        <v>0.44870901561170246</v>
      </c>
      <c r="E105" s="37">
        <f t="shared" si="134"/>
        <v>0.5661441256313301</v>
      </c>
      <c r="F105" s="37">
        <f t="shared" si="134"/>
        <v>0.52012734720382137</v>
      </c>
      <c r="G105" s="37">
        <f t="shared" si="134"/>
        <v>0.3254534827200885</v>
      </c>
    </row>
    <row r="106" spans="1:12" ht="13.5" x14ac:dyDescent="0.25">
      <c r="A106" s="53" t="s">
        <v>199</v>
      </c>
      <c r="B106" s="37">
        <f>P20/P22</f>
        <v>0.34353660661945279</v>
      </c>
      <c r="C106" s="37">
        <f t="shared" ref="C106:G106" si="135">Q20/Q22</f>
        <v>0.34823570210675375</v>
      </c>
      <c r="D106" s="37">
        <f t="shared" si="135"/>
        <v>0.33477067273029781</v>
      </c>
      <c r="E106" s="37">
        <f t="shared" si="135"/>
        <v>0.33525594808940157</v>
      </c>
      <c r="F106" s="37">
        <f t="shared" si="135"/>
        <v>0.33633263992319151</v>
      </c>
      <c r="G106" s="37">
        <f t="shared" si="135"/>
        <v>0.3311833321454874</v>
      </c>
      <c r="I106" s="181" t="s">
        <v>406</v>
      </c>
      <c r="J106" s="181"/>
    </row>
    <row r="107" spans="1:12" ht="13.5" x14ac:dyDescent="0.25">
      <c r="A107" s="53" t="s">
        <v>200</v>
      </c>
      <c r="B107" s="37">
        <f>P20/P41</f>
        <v>0.6120818630910374</v>
      </c>
      <c r="C107" s="37">
        <f t="shared" ref="C107:G107" si="136">Q20/Q41</f>
        <v>0.61257688983783232</v>
      </c>
      <c r="D107" s="37">
        <f t="shared" si="136"/>
        <v>0.61199401819886956</v>
      </c>
      <c r="E107" s="37">
        <f t="shared" si="136"/>
        <v>0.59845559845559848</v>
      </c>
      <c r="F107" s="37">
        <f t="shared" si="136"/>
        <v>0.56747663551401872</v>
      </c>
      <c r="G107" s="37">
        <f t="shared" si="136"/>
        <v>0.57870812404001826</v>
      </c>
      <c r="I107" s="181"/>
      <c r="J107" s="181" t="s">
        <v>407</v>
      </c>
    </row>
    <row r="108" spans="1:12" ht="13.5" x14ac:dyDescent="0.25">
      <c r="I108" s="181"/>
      <c r="J108" s="181" t="s">
        <v>408</v>
      </c>
    </row>
    <row r="109" spans="1:12" ht="13.5" x14ac:dyDescent="0.25">
      <c r="I109" s="181"/>
      <c r="J109" s="181" t="s">
        <v>409</v>
      </c>
    </row>
    <row r="110" spans="1:12" ht="13.5" x14ac:dyDescent="0.25">
      <c r="I110" s="181"/>
      <c r="J110" s="181" t="s">
        <v>410</v>
      </c>
    </row>
    <row r="111" spans="1:12" ht="13.5" x14ac:dyDescent="0.25">
      <c r="I111" s="181"/>
      <c r="J111" s="181" t="s">
        <v>411</v>
      </c>
    </row>
  </sheetData>
  <mergeCells count="2">
    <mergeCell ref="B1:G1"/>
    <mergeCell ref="Y1:AD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workbookViewId="0">
      <selection activeCell="I58" sqref="I58"/>
    </sheetView>
  </sheetViews>
  <sheetFormatPr defaultRowHeight="12.75" x14ac:dyDescent="0.2"/>
  <cols>
    <col min="1" max="1" width="22.140625" style="159" customWidth="1"/>
    <col min="2" max="3" width="9.140625" style="159"/>
    <col min="4" max="4" width="12.42578125" style="159" customWidth="1"/>
    <col min="5" max="16384" width="9.140625" style="159"/>
  </cols>
  <sheetData>
    <row r="1" spans="1:13" x14ac:dyDescent="0.2">
      <c r="B1" s="159" t="s">
        <v>142</v>
      </c>
      <c r="C1" s="159" t="s">
        <v>201</v>
      </c>
      <c r="D1" s="159" t="s">
        <v>202</v>
      </c>
      <c r="K1" s="159" t="s">
        <v>203</v>
      </c>
      <c r="L1" s="159" t="s">
        <v>204</v>
      </c>
      <c r="M1" s="159" t="s">
        <v>205</v>
      </c>
    </row>
    <row r="2" spans="1:13" ht="12.75" customHeight="1" x14ac:dyDescent="0.2">
      <c r="A2" s="160" t="s">
        <v>206</v>
      </c>
      <c r="B2" s="161">
        <v>36769</v>
      </c>
      <c r="C2" s="159">
        <f>+B2/$B$6</f>
        <v>0.75326245057669061</v>
      </c>
      <c r="D2" s="162">
        <f>AVERAGE(L118:L119)</f>
        <v>5.7500000000000002E-2</v>
      </c>
      <c r="K2" s="159" t="s">
        <v>207</v>
      </c>
      <c r="L2" s="159">
        <v>0.10250000000000001</v>
      </c>
      <c r="M2" s="159" t="s">
        <v>208</v>
      </c>
    </row>
    <row r="3" spans="1:13" ht="12.75" customHeight="1" x14ac:dyDescent="0.2">
      <c r="A3" s="160" t="s">
        <v>209</v>
      </c>
      <c r="B3" s="161">
        <v>6505</v>
      </c>
      <c r="C3" s="159">
        <f t="shared" ref="C3:C5" si="0">+B3/$B$6</f>
        <v>0.13326367975744166</v>
      </c>
      <c r="D3" s="162">
        <f>+AVERAGE(L82:L105,L121:L145)</f>
        <v>9.0040816326530632E-2</v>
      </c>
      <c r="K3" s="159" t="s">
        <v>210</v>
      </c>
      <c r="L3" s="159">
        <v>7.0250000000000007E-2</v>
      </c>
      <c r="M3" s="159" t="s">
        <v>208</v>
      </c>
    </row>
    <row r="4" spans="1:13" ht="12.75" customHeight="1" x14ac:dyDescent="0.2">
      <c r="A4" s="160" t="s">
        <v>211</v>
      </c>
      <c r="B4" s="161">
        <v>3930</v>
      </c>
      <c r="C4" s="159">
        <f t="shared" si="0"/>
        <v>8.0511339192428241E-2</v>
      </c>
      <c r="D4" s="162">
        <f>AVERAGE(L25:L45)</f>
        <v>9.6214285714285724E-2</v>
      </c>
      <c r="K4" s="159" t="s">
        <v>212</v>
      </c>
      <c r="L4" s="159">
        <v>0.155</v>
      </c>
      <c r="M4" s="159" t="s">
        <v>208</v>
      </c>
    </row>
    <row r="5" spans="1:13" ht="12.75" customHeight="1" x14ac:dyDescent="0.2">
      <c r="A5" s="160" t="s">
        <v>213</v>
      </c>
      <c r="B5" s="161">
        <v>1609</v>
      </c>
      <c r="C5" s="159">
        <f t="shared" si="0"/>
        <v>3.2962530473439451E-2</v>
      </c>
      <c r="D5" s="162">
        <f>+AVERAGE(L63:L81)</f>
        <v>0.11505263157894734</v>
      </c>
      <c r="K5" s="159" t="s">
        <v>214</v>
      </c>
      <c r="L5" s="159">
        <v>0.14000000000000001</v>
      </c>
      <c r="M5" s="159" t="s">
        <v>208</v>
      </c>
    </row>
    <row r="6" spans="1:13" x14ac:dyDescent="0.2">
      <c r="A6" s="160"/>
      <c r="B6" s="163">
        <f>+SUM(B2:B5)</f>
        <v>48813</v>
      </c>
      <c r="C6" s="163">
        <f>+SUM(C2:C5)</f>
        <v>1</v>
      </c>
      <c r="K6" s="159" t="s">
        <v>215</v>
      </c>
      <c r="L6" s="159">
        <v>0.14000000000000001</v>
      </c>
      <c r="M6" s="159" t="s">
        <v>208</v>
      </c>
    </row>
    <row r="7" spans="1:13" x14ac:dyDescent="0.2">
      <c r="K7" s="159" t="s">
        <v>216</v>
      </c>
      <c r="L7" s="159">
        <v>0.155</v>
      </c>
      <c r="M7" s="159" t="s">
        <v>208</v>
      </c>
    </row>
    <row r="8" spans="1:13" x14ac:dyDescent="0.2">
      <c r="K8" s="159" t="s">
        <v>217</v>
      </c>
      <c r="L8" s="159">
        <v>0.11149999999999999</v>
      </c>
      <c r="M8" s="159" t="s">
        <v>208</v>
      </c>
    </row>
    <row r="9" spans="1:13" x14ac:dyDescent="0.2">
      <c r="B9" s="159" t="s">
        <v>218</v>
      </c>
      <c r="C9" s="159" t="s">
        <v>201</v>
      </c>
      <c r="K9" s="159" t="s">
        <v>219</v>
      </c>
      <c r="L9" s="159">
        <v>0.125</v>
      </c>
      <c r="M9" s="159" t="s">
        <v>208</v>
      </c>
    </row>
    <row r="10" spans="1:13" x14ac:dyDescent="0.2">
      <c r="A10" s="160" t="s">
        <v>206</v>
      </c>
      <c r="B10" s="161">
        <v>9594</v>
      </c>
      <c r="C10" s="159">
        <f>+B10/$B$14</f>
        <v>0.73771626297577853</v>
      </c>
      <c r="K10" s="159" t="s">
        <v>220</v>
      </c>
      <c r="L10" s="159">
        <v>0.16999999999999998</v>
      </c>
      <c r="M10" s="159" t="s">
        <v>208</v>
      </c>
    </row>
    <row r="11" spans="1:13" x14ac:dyDescent="0.2">
      <c r="A11" s="160" t="s">
        <v>209</v>
      </c>
      <c r="B11" s="161">
        <v>1581</v>
      </c>
      <c r="C11" s="159">
        <f t="shared" ref="C11:C13" si="1">+B11/$B$14</f>
        <v>0.12156862745098039</v>
      </c>
      <c r="K11" s="159" t="s">
        <v>221</v>
      </c>
      <c r="L11" s="159">
        <v>0.125</v>
      </c>
      <c r="M11" s="159" t="s">
        <v>208</v>
      </c>
    </row>
    <row r="12" spans="1:13" x14ac:dyDescent="0.2">
      <c r="A12" s="160" t="s">
        <v>211</v>
      </c>
      <c r="B12" s="161">
        <v>1342</v>
      </c>
      <c r="C12" s="159">
        <f t="shared" si="1"/>
        <v>0.10319108035371011</v>
      </c>
      <c r="K12" s="159" t="s">
        <v>222</v>
      </c>
      <c r="L12" s="159">
        <v>0.11149999999999999</v>
      </c>
      <c r="M12" s="159" t="s">
        <v>208</v>
      </c>
    </row>
    <row r="13" spans="1:13" x14ac:dyDescent="0.2">
      <c r="A13" s="160" t="s">
        <v>213</v>
      </c>
      <c r="B13" s="161">
        <v>488</v>
      </c>
      <c r="C13" s="159">
        <f t="shared" si="1"/>
        <v>3.7524029219530949E-2</v>
      </c>
      <c r="K13" s="159" t="s">
        <v>223</v>
      </c>
      <c r="L13" s="159">
        <v>0.14000000000000001</v>
      </c>
      <c r="M13" s="159" t="s">
        <v>208</v>
      </c>
    </row>
    <row r="14" spans="1:13" x14ac:dyDescent="0.2">
      <c r="A14" s="160"/>
      <c r="B14" s="163">
        <f>+SUM(B10:B13)</f>
        <v>13005</v>
      </c>
      <c r="C14" s="163">
        <f>+SUM(C10:C13)</f>
        <v>1</v>
      </c>
      <c r="K14" s="159" t="s">
        <v>224</v>
      </c>
      <c r="L14" s="159">
        <v>0.125</v>
      </c>
      <c r="M14" s="159" t="s">
        <v>208</v>
      </c>
    </row>
    <row r="15" spans="1:13" x14ac:dyDescent="0.2">
      <c r="K15" s="159" t="s">
        <v>225</v>
      </c>
      <c r="L15" s="159">
        <v>9.5000000000000001E-2</v>
      </c>
      <c r="M15" s="159" t="s">
        <v>208</v>
      </c>
    </row>
    <row r="16" spans="1:13" x14ac:dyDescent="0.2">
      <c r="K16" s="159" t="s">
        <v>226</v>
      </c>
      <c r="L16" s="159">
        <v>0.125</v>
      </c>
      <c r="M16" s="159" t="s">
        <v>208</v>
      </c>
    </row>
    <row r="17" spans="11:13" x14ac:dyDescent="0.2">
      <c r="K17" s="159" t="s">
        <v>227</v>
      </c>
      <c r="L17" s="159">
        <v>9.0499999999999997E-2</v>
      </c>
      <c r="M17" s="159" t="s">
        <v>208</v>
      </c>
    </row>
    <row r="18" spans="11:13" x14ac:dyDescent="0.2">
      <c r="K18" s="159" t="s">
        <v>228</v>
      </c>
      <c r="L18" s="159">
        <v>0.11149999999999999</v>
      </c>
      <c r="M18" s="159" t="s">
        <v>208</v>
      </c>
    </row>
    <row r="19" spans="11:13" x14ac:dyDescent="0.2">
      <c r="K19" s="159" t="s">
        <v>229</v>
      </c>
      <c r="L19" s="159">
        <v>0.14000000000000001</v>
      </c>
      <c r="M19" s="159" t="s">
        <v>208</v>
      </c>
    </row>
    <row r="20" spans="11:13" x14ac:dyDescent="0.2">
      <c r="K20" s="159" t="s">
        <v>230</v>
      </c>
      <c r="L20" s="159">
        <v>0.125</v>
      </c>
      <c r="M20" s="159" t="s">
        <v>208</v>
      </c>
    </row>
    <row r="21" spans="11:13" x14ac:dyDescent="0.2">
      <c r="K21" s="159" t="s">
        <v>231</v>
      </c>
      <c r="L21" s="159">
        <v>8.5999999999999993E-2</v>
      </c>
      <c r="M21" s="159" t="s">
        <v>208</v>
      </c>
    </row>
    <row r="22" spans="11:13" x14ac:dyDescent="0.2">
      <c r="K22" s="159" t="s">
        <v>232</v>
      </c>
      <c r="L22" s="159">
        <v>0.11149999999999999</v>
      </c>
      <c r="M22" s="159" t="s">
        <v>208</v>
      </c>
    </row>
    <row r="23" spans="11:13" x14ac:dyDescent="0.2">
      <c r="K23" s="159" t="s">
        <v>233</v>
      </c>
      <c r="L23" s="159">
        <v>0.125</v>
      </c>
      <c r="M23" s="159" t="s">
        <v>208</v>
      </c>
    </row>
    <row r="24" spans="11:13" x14ac:dyDescent="0.2">
      <c r="K24" s="159" t="s">
        <v>234</v>
      </c>
      <c r="L24" s="159">
        <v>0.125</v>
      </c>
      <c r="M24" s="159" t="s">
        <v>208</v>
      </c>
    </row>
    <row r="25" spans="11:13" x14ac:dyDescent="0.2">
      <c r="K25" s="159" t="s">
        <v>235</v>
      </c>
      <c r="L25" s="159">
        <v>0.11149999999999999</v>
      </c>
      <c r="M25" s="159" t="s">
        <v>236</v>
      </c>
    </row>
    <row r="26" spans="11:13" x14ac:dyDescent="0.2">
      <c r="K26" s="159" t="s">
        <v>237</v>
      </c>
      <c r="L26" s="159">
        <v>0.14000000000000001</v>
      </c>
      <c r="M26" s="159" t="s">
        <v>236</v>
      </c>
    </row>
    <row r="27" spans="11:13" x14ac:dyDescent="0.2">
      <c r="K27" s="159" t="s">
        <v>238</v>
      </c>
      <c r="L27" s="159">
        <v>6.6500000000000004E-2</v>
      </c>
      <c r="M27" s="159" t="s">
        <v>236</v>
      </c>
    </row>
    <row r="28" spans="11:13" x14ac:dyDescent="0.2">
      <c r="K28" s="159" t="s">
        <v>239</v>
      </c>
      <c r="L28" s="159">
        <v>0.125</v>
      </c>
      <c r="M28" s="159" t="s">
        <v>236</v>
      </c>
    </row>
    <row r="29" spans="11:13" x14ac:dyDescent="0.2">
      <c r="K29" s="159" t="s">
        <v>240</v>
      </c>
      <c r="L29" s="159">
        <v>6.3500000000000001E-2</v>
      </c>
      <c r="M29" s="159" t="s">
        <v>236</v>
      </c>
    </row>
    <row r="30" spans="11:13" x14ac:dyDescent="0.2">
      <c r="K30" s="159" t="s">
        <v>241</v>
      </c>
      <c r="L30" s="159">
        <v>9.0499999999999997E-2</v>
      </c>
      <c r="M30" s="159" t="s">
        <v>236</v>
      </c>
    </row>
    <row r="31" spans="11:13" x14ac:dyDescent="0.2">
      <c r="K31" s="159" t="s">
        <v>242</v>
      </c>
      <c r="L31" s="159">
        <v>9.0499999999999997E-2</v>
      </c>
      <c r="M31" s="159" t="s">
        <v>236</v>
      </c>
    </row>
    <row r="32" spans="11:13" x14ac:dyDescent="0.2">
      <c r="K32" s="159" t="s">
        <v>243</v>
      </c>
      <c r="L32" s="159">
        <v>6.8000000000000005E-2</v>
      </c>
      <c r="M32" s="159" t="s">
        <v>236</v>
      </c>
    </row>
    <row r="33" spans="11:13" x14ac:dyDescent="0.2">
      <c r="K33" s="159" t="s">
        <v>244</v>
      </c>
      <c r="L33" s="159">
        <v>6.6500000000000004E-2</v>
      </c>
      <c r="M33" s="159" t="s">
        <v>236</v>
      </c>
    </row>
    <row r="34" spans="11:13" x14ac:dyDescent="0.2">
      <c r="K34" s="159" t="s">
        <v>245</v>
      </c>
      <c r="L34" s="159">
        <v>6.5000000000000002E-2</v>
      </c>
      <c r="M34" s="159" t="s">
        <v>236</v>
      </c>
    </row>
    <row r="35" spans="11:13" x14ac:dyDescent="0.2">
      <c r="K35" s="159" t="s">
        <v>246</v>
      </c>
      <c r="L35" s="159">
        <v>7.5500000000000012E-2</v>
      </c>
      <c r="M35" s="159" t="s">
        <v>236</v>
      </c>
    </row>
    <row r="36" spans="11:13" x14ac:dyDescent="0.2">
      <c r="K36" s="159" t="s">
        <v>247</v>
      </c>
      <c r="L36" s="159">
        <v>8.1500000000000003E-2</v>
      </c>
      <c r="M36" s="159" t="s">
        <v>236</v>
      </c>
    </row>
    <row r="37" spans="11:13" x14ac:dyDescent="0.2">
      <c r="K37" s="159" t="s">
        <v>248</v>
      </c>
      <c r="L37" s="159">
        <v>0.14000000000000001</v>
      </c>
      <c r="M37" s="159" t="s">
        <v>236</v>
      </c>
    </row>
    <row r="38" spans="11:13" x14ac:dyDescent="0.2">
      <c r="K38" s="159" t="s">
        <v>249</v>
      </c>
      <c r="L38" s="159">
        <v>0.16999999999999998</v>
      </c>
      <c r="M38" s="159" t="s">
        <v>236</v>
      </c>
    </row>
    <row r="39" spans="11:13" x14ac:dyDescent="0.2">
      <c r="K39" s="159" t="s">
        <v>250</v>
      </c>
      <c r="L39" s="159">
        <v>0.125</v>
      </c>
      <c r="M39" s="159" t="s">
        <v>236</v>
      </c>
    </row>
    <row r="40" spans="11:13" x14ac:dyDescent="0.2">
      <c r="K40" s="159" t="s">
        <v>251</v>
      </c>
      <c r="L40" s="159">
        <v>8.5999999999999993E-2</v>
      </c>
      <c r="M40" s="159" t="s">
        <v>236</v>
      </c>
    </row>
    <row r="41" spans="11:13" x14ac:dyDescent="0.2">
      <c r="K41" s="159" t="s">
        <v>252</v>
      </c>
      <c r="L41" s="159">
        <v>5.7500000000000002E-2</v>
      </c>
      <c r="M41" s="159" t="s">
        <v>236</v>
      </c>
    </row>
    <row r="42" spans="11:13" x14ac:dyDescent="0.2">
      <c r="K42" s="159" t="s">
        <v>253</v>
      </c>
      <c r="L42" s="159">
        <v>0.125</v>
      </c>
      <c r="M42" s="159" t="s">
        <v>236</v>
      </c>
    </row>
    <row r="43" spans="11:13" x14ac:dyDescent="0.2">
      <c r="K43" s="159" t="s">
        <v>254</v>
      </c>
      <c r="L43" s="159">
        <v>6.6500000000000004E-2</v>
      </c>
      <c r="M43" s="159" t="s">
        <v>236</v>
      </c>
    </row>
    <row r="44" spans="11:13" x14ac:dyDescent="0.2">
      <c r="K44" s="159" t="s">
        <v>255</v>
      </c>
      <c r="L44" s="159">
        <v>8.1500000000000003E-2</v>
      </c>
      <c r="M44" s="159" t="s">
        <v>236</v>
      </c>
    </row>
    <row r="45" spans="11:13" x14ac:dyDescent="0.2">
      <c r="K45" s="159" t="s">
        <v>256</v>
      </c>
      <c r="L45" s="159">
        <v>0.125</v>
      </c>
      <c r="M45" s="159" t="s">
        <v>236</v>
      </c>
    </row>
    <row r="46" spans="11:13" x14ac:dyDescent="0.2">
      <c r="K46" s="159" t="s">
        <v>257</v>
      </c>
      <c r="L46" s="159">
        <v>5.7500000000000002E-2</v>
      </c>
      <c r="M46" s="159" t="s">
        <v>258</v>
      </c>
    </row>
    <row r="47" spans="11:13" x14ac:dyDescent="0.2">
      <c r="K47" s="159" t="s">
        <v>259</v>
      </c>
      <c r="L47" s="159">
        <v>0.125</v>
      </c>
      <c r="M47" s="159" t="s">
        <v>258</v>
      </c>
    </row>
    <row r="48" spans="11:13" x14ac:dyDescent="0.2">
      <c r="K48" s="159" t="s">
        <v>260</v>
      </c>
      <c r="L48" s="159">
        <v>5.7500000000000002E-2</v>
      </c>
      <c r="M48" s="159" t="s">
        <v>258</v>
      </c>
    </row>
    <row r="49" spans="11:13" x14ac:dyDescent="0.2">
      <c r="K49" s="159" t="s">
        <v>261</v>
      </c>
      <c r="L49" s="159">
        <v>8.1500000000000003E-2</v>
      </c>
      <c r="M49" s="159" t="s">
        <v>262</v>
      </c>
    </row>
    <row r="50" spans="11:13" x14ac:dyDescent="0.2">
      <c r="K50" s="159" t="s">
        <v>263</v>
      </c>
      <c r="L50" s="159">
        <v>8.5999999999999993E-2</v>
      </c>
      <c r="M50" s="159" t="s">
        <v>262</v>
      </c>
    </row>
    <row r="51" spans="11:13" x14ac:dyDescent="0.2">
      <c r="K51" s="159" t="s">
        <v>264</v>
      </c>
      <c r="L51" s="159">
        <v>0.155</v>
      </c>
      <c r="M51" s="159" t="s">
        <v>262</v>
      </c>
    </row>
    <row r="52" spans="11:13" x14ac:dyDescent="0.2">
      <c r="K52" s="159" t="s">
        <v>265</v>
      </c>
      <c r="L52" s="159">
        <v>6.8000000000000005E-2</v>
      </c>
      <c r="M52" s="159" t="s">
        <v>262</v>
      </c>
    </row>
    <row r="53" spans="11:13" x14ac:dyDescent="0.2">
      <c r="K53" s="159" t="s">
        <v>266</v>
      </c>
      <c r="L53" s="159">
        <v>6.6500000000000004E-2</v>
      </c>
      <c r="M53" s="159" t="s">
        <v>262</v>
      </c>
    </row>
    <row r="54" spans="11:13" x14ac:dyDescent="0.2">
      <c r="K54" s="159" t="s">
        <v>267</v>
      </c>
      <c r="L54" s="159">
        <v>0.1925</v>
      </c>
      <c r="M54" s="159" t="s">
        <v>262</v>
      </c>
    </row>
    <row r="55" spans="11:13" x14ac:dyDescent="0.2">
      <c r="K55" s="159" t="s">
        <v>268</v>
      </c>
      <c r="L55" s="159">
        <v>7.5500000000000012E-2</v>
      </c>
      <c r="M55" s="159" t="s">
        <v>262</v>
      </c>
    </row>
    <row r="56" spans="11:13" x14ac:dyDescent="0.2">
      <c r="K56" s="159" t="s">
        <v>269</v>
      </c>
      <c r="L56" s="159">
        <v>0.125</v>
      </c>
      <c r="M56" s="159" t="s">
        <v>262</v>
      </c>
    </row>
    <row r="57" spans="11:13" x14ac:dyDescent="0.2">
      <c r="K57" s="159" t="s">
        <v>270</v>
      </c>
      <c r="L57" s="159">
        <v>0.20750000000000002</v>
      </c>
      <c r="M57" s="159" t="s">
        <v>262</v>
      </c>
    </row>
    <row r="58" spans="11:13" x14ac:dyDescent="0.2">
      <c r="K58" s="159" t="s">
        <v>271</v>
      </c>
      <c r="L58" s="159">
        <v>9.0499999999999997E-2</v>
      </c>
      <c r="M58" s="159" t="s">
        <v>262</v>
      </c>
    </row>
    <row r="59" spans="11:13" x14ac:dyDescent="0.2">
      <c r="K59" s="159" t="s">
        <v>272</v>
      </c>
      <c r="L59" s="159">
        <v>8.1500000000000003E-2</v>
      </c>
      <c r="M59" s="159" t="s">
        <v>262</v>
      </c>
    </row>
    <row r="60" spans="11:13" x14ac:dyDescent="0.2">
      <c r="K60" s="159" t="s">
        <v>273</v>
      </c>
      <c r="L60" s="159">
        <v>0.155</v>
      </c>
      <c r="M60" s="159" t="s">
        <v>262</v>
      </c>
    </row>
    <row r="61" spans="11:13" x14ac:dyDescent="0.2">
      <c r="K61" s="159" t="s">
        <v>274</v>
      </c>
      <c r="L61" s="159">
        <v>8.1500000000000003E-2</v>
      </c>
      <c r="M61" s="159" t="s">
        <v>262</v>
      </c>
    </row>
    <row r="62" spans="11:13" x14ac:dyDescent="0.2">
      <c r="K62" s="159" t="s">
        <v>275</v>
      </c>
      <c r="L62" s="159">
        <v>8.1500000000000003E-2</v>
      </c>
      <c r="M62" s="159" t="s">
        <v>262</v>
      </c>
    </row>
    <row r="63" spans="11:13" x14ac:dyDescent="0.2">
      <c r="K63" s="159" t="s">
        <v>276</v>
      </c>
      <c r="L63" s="159">
        <v>0.16999999999999998</v>
      </c>
      <c r="M63" s="159" t="s">
        <v>277</v>
      </c>
    </row>
    <row r="64" spans="11:13" x14ac:dyDescent="0.2">
      <c r="K64" s="159" t="s">
        <v>278</v>
      </c>
      <c r="L64" s="159">
        <v>0.1925</v>
      </c>
      <c r="M64" s="159" t="s">
        <v>277</v>
      </c>
    </row>
    <row r="65" spans="11:13" x14ac:dyDescent="0.2">
      <c r="K65" s="159" t="s">
        <v>279</v>
      </c>
      <c r="L65" s="159">
        <v>0.11149999999999999</v>
      </c>
      <c r="M65" s="159" t="s">
        <v>277</v>
      </c>
    </row>
    <row r="66" spans="11:13" x14ac:dyDescent="0.2">
      <c r="K66" s="159" t="s">
        <v>280</v>
      </c>
      <c r="L66" s="159">
        <v>8.5999999999999993E-2</v>
      </c>
      <c r="M66" s="159" t="s">
        <v>277</v>
      </c>
    </row>
    <row r="67" spans="11:13" x14ac:dyDescent="0.2">
      <c r="K67" s="159" t="s">
        <v>281</v>
      </c>
      <c r="L67" s="159">
        <v>6.6500000000000004E-2</v>
      </c>
      <c r="M67" s="159" t="s">
        <v>277</v>
      </c>
    </row>
    <row r="68" spans="11:13" x14ac:dyDescent="0.2">
      <c r="K68" s="159" t="s">
        <v>282</v>
      </c>
      <c r="L68" s="159">
        <v>8.5999999999999993E-2</v>
      </c>
      <c r="M68" s="159" t="s">
        <v>277</v>
      </c>
    </row>
    <row r="69" spans="11:13" x14ac:dyDescent="0.2">
      <c r="K69" s="159" t="s">
        <v>283</v>
      </c>
      <c r="L69" s="159">
        <v>9.5000000000000001E-2</v>
      </c>
      <c r="M69" s="159" t="s">
        <v>277</v>
      </c>
    </row>
    <row r="70" spans="11:13" x14ac:dyDescent="0.2">
      <c r="K70" s="159" t="s">
        <v>284</v>
      </c>
      <c r="L70" s="159">
        <v>0.155</v>
      </c>
      <c r="M70" s="159" t="s">
        <v>277</v>
      </c>
    </row>
    <row r="71" spans="11:13" x14ac:dyDescent="0.2">
      <c r="K71" s="159" t="s">
        <v>285</v>
      </c>
      <c r="L71" s="159">
        <v>0.11149999999999999</v>
      </c>
      <c r="M71" s="159" t="s">
        <v>277</v>
      </c>
    </row>
    <row r="72" spans="11:13" x14ac:dyDescent="0.2">
      <c r="K72" s="159" t="s">
        <v>286</v>
      </c>
      <c r="L72" s="159">
        <v>9.5000000000000001E-2</v>
      </c>
      <c r="M72" s="159" t="s">
        <v>277</v>
      </c>
    </row>
    <row r="73" spans="11:13" x14ac:dyDescent="0.2">
      <c r="K73" s="159" t="s">
        <v>287</v>
      </c>
      <c r="L73" s="159">
        <v>0.155</v>
      </c>
      <c r="M73" s="159" t="s">
        <v>277</v>
      </c>
    </row>
    <row r="74" spans="11:13" x14ac:dyDescent="0.2">
      <c r="K74" s="159" t="s">
        <v>288</v>
      </c>
      <c r="L74" s="159">
        <v>7.5500000000000012E-2</v>
      </c>
      <c r="M74" s="159" t="s">
        <v>277</v>
      </c>
    </row>
    <row r="75" spans="11:13" x14ac:dyDescent="0.2">
      <c r="K75" s="159" t="s">
        <v>289</v>
      </c>
      <c r="L75" s="159">
        <v>0.155</v>
      </c>
      <c r="M75" s="159" t="s">
        <v>277</v>
      </c>
    </row>
    <row r="76" spans="11:13" x14ac:dyDescent="0.2">
      <c r="K76" s="159" t="s">
        <v>290</v>
      </c>
      <c r="L76" s="159">
        <v>8.5999999999999993E-2</v>
      </c>
      <c r="M76" s="159" t="s">
        <v>277</v>
      </c>
    </row>
    <row r="77" spans="11:13" x14ac:dyDescent="0.2">
      <c r="K77" s="159" t="s">
        <v>291</v>
      </c>
      <c r="L77" s="159">
        <v>0.10250000000000001</v>
      </c>
      <c r="M77" s="159" t="s">
        <v>277</v>
      </c>
    </row>
    <row r="78" spans="11:13" x14ac:dyDescent="0.2">
      <c r="K78" s="159" t="s">
        <v>292</v>
      </c>
      <c r="L78" s="159">
        <v>7.5500000000000012E-2</v>
      </c>
      <c r="M78" s="159" t="s">
        <v>277</v>
      </c>
    </row>
    <row r="79" spans="11:13" x14ac:dyDescent="0.2">
      <c r="K79" s="159" t="s">
        <v>293</v>
      </c>
      <c r="L79" s="159">
        <v>0.11149999999999999</v>
      </c>
      <c r="M79" s="159" t="s">
        <v>277</v>
      </c>
    </row>
    <row r="80" spans="11:13" x14ac:dyDescent="0.2">
      <c r="K80" s="159" t="s">
        <v>294</v>
      </c>
      <c r="L80" s="159">
        <v>8.5999999999999993E-2</v>
      </c>
      <c r="M80" s="159" t="s">
        <v>277</v>
      </c>
    </row>
    <row r="81" spans="11:13" x14ac:dyDescent="0.2">
      <c r="K81" s="159" t="s">
        <v>295</v>
      </c>
      <c r="L81" s="159">
        <v>0.16999999999999998</v>
      </c>
      <c r="M81" s="159" t="s">
        <v>277</v>
      </c>
    </row>
    <row r="82" spans="11:13" x14ac:dyDescent="0.2">
      <c r="K82" s="159" t="s">
        <v>296</v>
      </c>
      <c r="L82" s="159">
        <v>0.125</v>
      </c>
      <c r="M82" s="159" t="s">
        <v>297</v>
      </c>
    </row>
    <row r="83" spans="11:13" x14ac:dyDescent="0.2">
      <c r="K83" s="159" t="s">
        <v>298</v>
      </c>
      <c r="L83" s="159">
        <v>0.10250000000000001</v>
      </c>
      <c r="M83" s="159" t="s">
        <v>297</v>
      </c>
    </row>
    <row r="84" spans="11:13" x14ac:dyDescent="0.2">
      <c r="K84" s="159" t="s">
        <v>299</v>
      </c>
      <c r="L84" s="159">
        <v>9.0499999999999997E-2</v>
      </c>
      <c r="M84" s="159" t="s">
        <v>297</v>
      </c>
    </row>
    <row r="85" spans="11:13" x14ac:dyDescent="0.2">
      <c r="K85" s="159" t="s">
        <v>300</v>
      </c>
      <c r="L85" s="159">
        <v>0.155</v>
      </c>
      <c r="M85" s="159" t="s">
        <v>297</v>
      </c>
    </row>
    <row r="86" spans="11:13" x14ac:dyDescent="0.2">
      <c r="K86" s="159" t="s">
        <v>301</v>
      </c>
      <c r="L86" s="159">
        <v>0.155</v>
      </c>
      <c r="M86" s="159" t="s">
        <v>297</v>
      </c>
    </row>
    <row r="87" spans="11:13" x14ac:dyDescent="0.2">
      <c r="K87" s="159" t="s">
        <v>302</v>
      </c>
      <c r="L87" s="159">
        <v>8.5999999999999993E-2</v>
      </c>
      <c r="M87" s="159" t="s">
        <v>297</v>
      </c>
    </row>
    <row r="88" spans="11:13" x14ac:dyDescent="0.2">
      <c r="K88" s="159" t="s">
        <v>303</v>
      </c>
      <c r="L88" s="159">
        <v>9.5000000000000001E-2</v>
      </c>
      <c r="M88" s="159" t="s">
        <v>297</v>
      </c>
    </row>
    <row r="89" spans="11:13" x14ac:dyDescent="0.2">
      <c r="K89" s="159" t="s">
        <v>304</v>
      </c>
      <c r="L89" s="159">
        <v>6.8000000000000005E-2</v>
      </c>
      <c r="M89" s="159" t="s">
        <v>297</v>
      </c>
    </row>
    <row r="90" spans="11:13" x14ac:dyDescent="0.2">
      <c r="K90" s="159" t="s">
        <v>305</v>
      </c>
      <c r="L90" s="159">
        <v>6.8000000000000005E-2</v>
      </c>
      <c r="M90" s="159" t="s">
        <v>297</v>
      </c>
    </row>
    <row r="91" spans="11:13" x14ac:dyDescent="0.2">
      <c r="K91" s="159" t="s">
        <v>306</v>
      </c>
      <c r="L91" s="159">
        <v>0.11149999999999999</v>
      </c>
      <c r="M91" s="159" t="s">
        <v>297</v>
      </c>
    </row>
    <row r="92" spans="11:13" x14ac:dyDescent="0.2">
      <c r="K92" s="159" t="s">
        <v>307</v>
      </c>
      <c r="L92" s="159">
        <v>9.5000000000000001E-2</v>
      </c>
      <c r="M92" s="159" t="s">
        <v>297</v>
      </c>
    </row>
    <row r="93" spans="11:13" x14ac:dyDescent="0.2">
      <c r="K93" s="159" t="s">
        <v>308</v>
      </c>
      <c r="L93" s="159">
        <v>8.5999999999999993E-2</v>
      </c>
      <c r="M93" s="159" t="s">
        <v>297</v>
      </c>
    </row>
    <row r="94" spans="11:13" x14ac:dyDescent="0.2">
      <c r="K94" s="159" t="s">
        <v>309</v>
      </c>
      <c r="L94" s="159">
        <v>8.1500000000000003E-2</v>
      </c>
      <c r="M94" s="159" t="s">
        <v>297</v>
      </c>
    </row>
    <row r="95" spans="11:13" x14ac:dyDescent="0.2">
      <c r="K95" s="159" t="s">
        <v>310</v>
      </c>
      <c r="L95" s="159">
        <v>8.1500000000000003E-2</v>
      </c>
      <c r="M95" s="159" t="s">
        <v>297</v>
      </c>
    </row>
    <row r="96" spans="11:13" x14ac:dyDescent="0.2">
      <c r="K96" s="159" t="s">
        <v>311</v>
      </c>
      <c r="L96" s="159">
        <v>0.11149999999999999</v>
      </c>
      <c r="M96" s="159" t="s">
        <v>297</v>
      </c>
    </row>
    <row r="97" spans="11:13" x14ac:dyDescent="0.2">
      <c r="K97" s="159" t="s">
        <v>312</v>
      </c>
      <c r="L97" s="159">
        <v>0.155</v>
      </c>
      <c r="M97" s="159" t="s">
        <v>297</v>
      </c>
    </row>
    <row r="98" spans="11:13" x14ac:dyDescent="0.2">
      <c r="K98" s="159" t="s">
        <v>313</v>
      </c>
      <c r="L98" s="159">
        <v>0.11149999999999999</v>
      </c>
      <c r="M98" s="159" t="s">
        <v>297</v>
      </c>
    </row>
    <row r="99" spans="11:13" x14ac:dyDescent="0.2">
      <c r="K99" s="159" t="s">
        <v>314</v>
      </c>
      <c r="L99" s="159">
        <v>7.0250000000000007E-2</v>
      </c>
      <c r="M99" s="159" t="s">
        <v>297</v>
      </c>
    </row>
    <row r="100" spans="11:13" x14ac:dyDescent="0.2">
      <c r="K100" s="159" t="s">
        <v>315</v>
      </c>
      <c r="L100" s="159">
        <v>9.0499999999999997E-2</v>
      </c>
      <c r="M100" s="159" t="s">
        <v>297</v>
      </c>
    </row>
    <row r="101" spans="11:13" x14ac:dyDescent="0.2">
      <c r="K101" s="159" t="s">
        <v>316</v>
      </c>
      <c r="L101" s="159">
        <v>8.5999999999999993E-2</v>
      </c>
      <c r="M101" s="159" t="s">
        <v>297</v>
      </c>
    </row>
    <row r="102" spans="11:13" x14ac:dyDescent="0.2">
      <c r="K102" s="159" t="s">
        <v>317</v>
      </c>
      <c r="L102" s="159">
        <v>0.125</v>
      </c>
      <c r="M102" s="159" t="s">
        <v>297</v>
      </c>
    </row>
    <row r="103" spans="11:13" x14ac:dyDescent="0.2">
      <c r="K103" s="159" t="s">
        <v>318</v>
      </c>
      <c r="L103" s="159">
        <v>7.0250000000000007E-2</v>
      </c>
      <c r="M103" s="159" t="s">
        <v>297</v>
      </c>
    </row>
    <row r="104" spans="11:13" x14ac:dyDescent="0.2">
      <c r="K104" s="159" t="s">
        <v>319</v>
      </c>
      <c r="L104" s="159">
        <v>9.5000000000000001E-2</v>
      </c>
      <c r="M104" s="159" t="s">
        <v>297</v>
      </c>
    </row>
    <row r="105" spans="11:13" x14ac:dyDescent="0.2">
      <c r="K105" s="159" t="s">
        <v>320</v>
      </c>
      <c r="L105" s="159">
        <v>0.20750000000000002</v>
      </c>
      <c r="M105" s="159" t="s">
        <v>297</v>
      </c>
    </row>
    <row r="106" spans="11:13" x14ac:dyDescent="0.2">
      <c r="K106" s="159" t="s">
        <v>321</v>
      </c>
      <c r="L106" s="159">
        <v>6.5000000000000002E-2</v>
      </c>
      <c r="M106" s="159" t="s">
        <v>322</v>
      </c>
    </row>
    <row r="107" spans="11:13" x14ac:dyDescent="0.2">
      <c r="K107" s="159" t="s">
        <v>323</v>
      </c>
      <c r="L107" s="159">
        <v>8.5999999999999993E-2</v>
      </c>
      <c r="M107" s="159" t="s">
        <v>322</v>
      </c>
    </row>
    <row r="108" spans="11:13" x14ac:dyDescent="0.2">
      <c r="K108" s="159" t="s">
        <v>324</v>
      </c>
      <c r="L108" s="159">
        <v>6.8000000000000005E-2</v>
      </c>
      <c r="M108" s="159" t="s">
        <v>322</v>
      </c>
    </row>
    <row r="109" spans="11:13" x14ac:dyDescent="0.2">
      <c r="K109" s="159" t="s">
        <v>325</v>
      </c>
      <c r="L109" s="159">
        <v>0.125</v>
      </c>
      <c r="M109" s="159" t="s">
        <v>322</v>
      </c>
    </row>
    <row r="110" spans="11:13" x14ac:dyDescent="0.2">
      <c r="K110" s="159" t="s">
        <v>326</v>
      </c>
      <c r="L110" s="159">
        <v>6.5000000000000002E-2</v>
      </c>
      <c r="M110" s="159" t="s">
        <v>322</v>
      </c>
    </row>
    <row r="111" spans="11:13" x14ac:dyDescent="0.2">
      <c r="K111" s="159" t="s">
        <v>327</v>
      </c>
      <c r="L111" s="159">
        <v>0.14000000000000001</v>
      </c>
      <c r="M111" s="159" t="s">
        <v>322</v>
      </c>
    </row>
    <row r="112" spans="11:13" x14ac:dyDescent="0.2">
      <c r="K112" s="159" t="s">
        <v>328</v>
      </c>
      <c r="L112" s="159">
        <v>6.8000000000000005E-2</v>
      </c>
      <c r="M112" s="159" t="s">
        <v>322</v>
      </c>
    </row>
    <row r="113" spans="11:13" x14ac:dyDescent="0.2">
      <c r="K113" s="159" t="s">
        <v>329</v>
      </c>
      <c r="L113" s="159">
        <v>6.5000000000000002E-2</v>
      </c>
      <c r="M113" s="159" t="s">
        <v>322</v>
      </c>
    </row>
    <row r="114" spans="11:13" x14ac:dyDescent="0.2">
      <c r="K114" s="159" t="s">
        <v>330</v>
      </c>
      <c r="L114" s="159">
        <v>7.0250000000000007E-2</v>
      </c>
      <c r="M114" s="159" t="s">
        <v>322</v>
      </c>
    </row>
    <row r="115" spans="11:13" x14ac:dyDescent="0.2">
      <c r="K115" s="159" t="s">
        <v>331</v>
      </c>
      <c r="L115" s="159">
        <v>6.6500000000000004E-2</v>
      </c>
      <c r="M115" s="159" t="s">
        <v>322</v>
      </c>
    </row>
    <row r="116" spans="11:13" x14ac:dyDescent="0.2">
      <c r="K116" s="159" t="s">
        <v>332</v>
      </c>
      <c r="L116" s="159">
        <v>7.5500000000000012E-2</v>
      </c>
      <c r="M116" s="159" t="s">
        <v>322</v>
      </c>
    </row>
    <row r="117" spans="11:13" x14ac:dyDescent="0.2">
      <c r="K117" s="159" t="s">
        <v>333</v>
      </c>
      <c r="L117" s="159">
        <v>6.5000000000000002E-2</v>
      </c>
      <c r="M117" s="159" t="s">
        <v>322</v>
      </c>
    </row>
    <row r="118" spans="11:13" x14ac:dyDescent="0.2">
      <c r="K118" s="159" t="s">
        <v>334</v>
      </c>
      <c r="L118" s="159">
        <v>5.7500000000000002E-2</v>
      </c>
      <c r="M118" s="159" t="s">
        <v>335</v>
      </c>
    </row>
    <row r="119" spans="11:13" x14ac:dyDescent="0.2">
      <c r="K119" s="159" t="s">
        <v>336</v>
      </c>
      <c r="L119" s="159">
        <v>5.7500000000000002E-2</v>
      </c>
      <c r="M119" s="159" t="s">
        <v>335</v>
      </c>
    </row>
    <row r="120" spans="11:13" x14ac:dyDescent="0.2">
      <c r="K120" s="159" t="s">
        <v>337</v>
      </c>
      <c r="L120" s="159">
        <v>8.1500000000000003E-2</v>
      </c>
      <c r="M120" s="159" t="s">
        <v>338</v>
      </c>
    </row>
    <row r="121" spans="11:13" x14ac:dyDescent="0.2">
      <c r="K121" s="159" t="s">
        <v>339</v>
      </c>
      <c r="L121" s="159">
        <v>5.7500000000000002E-2</v>
      </c>
      <c r="M121" s="159" t="s">
        <v>338</v>
      </c>
    </row>
    <row r="122" spans="11:13" x14ac:dyDescent="0.2">
      <c r="K122" s="159" t="s">
        <v>340</v>
      </c>
      <c r="L122" s="159">
        <v>6.6500000000000004E-2</v>
      </c>
      <c r="M122" s="159" t="s">
        <v>338</v>
      </c>
    </row>
    <row r="123" spans="11:13" x14ac:dyDescent="0.2">
      <c r="K123" s="159" t="s">
        <v>341</v>
      </c>
      <c r="L123" s="159">
        <v>0.155</v>
      </c>
      <c r="M123" s="159" t="s">
        <v>338</v>
      </c>
    </row>
    <row r="124" spans="11:13" x14ac:dyDescent="0.2">
      <c r="K124" s="159" t="s">
        <v>342</v>
      </c>
      <c r="L124" s="159">
        <v>5.7500000000000002E-2</v>
      </c>
      <c r="M124" s="159" t="s">
        <v>338</v>
      </c>
    </row>
    <row r="125" spans="11:13" x14ac:dyDescent="0.2">
      <c r="K125" s="159" t="s">
        <v>343</v>
      </c>
      <c r="L125" s="159">
        <v>5.7500000000000002E-2</v>
      </c>
      <c r="M125" s="159" t="s">
        <v>338</v>
      </c>
    </row>
    <row r="126" spans="11:13" x14ac:dyDescent="0.2">
      <c r="K126" s="159" t="s">
        <v>344</v>
      </c>
      <c r="L126" s="159">
        <v>6.3500000000000001E-2</v>
      </c>
      <c r="M126" s="159" t="s">
        <v>338</v>
      </c>
    </row>
    <row r="127" spans="11:13" x14ac:dyDescent="0.2">
      <c r="K127" s="159" t="s">
        <v>345</v>
      </c>
      <c r="L127" s="159">
        <v>5.7500000000000002E-2</v>
      </c>
      <c r="M127" s="159" t="s">
        <v>338</v>
      </c>
    </row>
    <row r="128" spans="11:13" x14ac:dyDescent="0.2">
      <c r="K128" s="159" t="s">
        <v>346</v>
      </c>
      <c r="L128" s="159">
        <v>0.16999999999999998</v>
      </c>
      <c r="M128" s="159" t="s">
        <v>338</v>
      </c>
    </row>
    <row r="129" spans="11:13" x14ac:dyDescent="0.2">
      <c r="K129" s="159" t="s">
        <v>347</v>
      </c>
      <c r="L129" s="159">
        <v>6.3500000000000001E-2</v>
      </c>
      <c r="M129" s="159" t="s">
        <v>338</v>
      </c>
    </row>
    <row r="130" spans="11:13" x14ac:dyDescent="0.2">
      <c r="K130" s="159" t="s">
        <v>348</v>
      </c>
      <c r="L130" s="159">
        <v>9.0499999999999997E-2</v>
      </c>
      <c r="M130" s="159" t="s">
        <v>338</v>
      </c>
    </row>
    <row r="131" spans="11:13" x14ac:dyDescent="0.2">
      <c r="K131" s="159" t="s">
        <v>349</v>
      </c>
      <c r="L131" s="159">
        <v>8.1500000000000003E-2</v>
      </c>
      <c r="M131" s="159" t="s">
        <v>338</v>
      </c>
    </row>
    <row r="132" spans="11:13" x14ac:dyDescent="0.2">
      <c r="K132" s="159" t="s">
        <v>350</v>
      </c>
      <c r="L132" s="159">
        <v>6.3500000000000001E-2</v>
      </c>
      <c r="M132" s="159" t="s">
        <v>338</v>
      </c>
    </row>
    <row r="133" spans="11:13" x14ac:dyDescent="0.2">
      <c r="K133" s="159" t="s">
        <v>351</v>
      </c>
      <c r="L133" s="159">
        <v>8.5999999999999993E-2</v>
      </c>
      <c r="M133" s="159" t="s">
        <v>338</v>
      </c>
    </row>
    <row r="134" spans="11:13" x14ac:dyDescent="0.2">
      <c r="K134" s="159" t="s">
        <v>352</v>
      </c>
      <c r="L134" s="159">
        <v>6.3500000000000001E-2</v>
      </c>
      <c r="M134" s="159" t="s">
        <v>338</v>
      </c>
    </row>
    <row r="135" spans="11:13" x14ac:dyDescent="0.2">
      <c r="K135" s="159" t="s">
        <v>353</v>
      </c>
      <c r="L135" s="159">
        <v>5.7500000000000002E-2</v>
      </c>
      <c r="M135" s="159" t="s">
        <v>338</v>
      </c>
    </row>
    <row r="136" spans="11:13" x14ac:dyDescent="0.2">
      <c r="K136" s="159" t="s">
        <v>354</v>
      </c>
      <c r="L136" s="159">
        <v>5.7500000000000002E-2</v>
      </c>
      <c r="M136" s="159" t="s">
        <v>338</v>
      </c>
    </row>
    <row r="137" spans="11:13" x14ac:dyDescent="0.2">
      <c r="K137" s="159" t="s">
        <v>355</v>
      </c>
      <c r="L137" s="159">
        <v>7.5500000000000012E-2</v>
      </c>
      <c r="M137" s="159" t="s">
        <v>338</v>
      </c>
    </row>
    <row r="138" spans="11:13" x14ac:dyDescent="0.2">
      <c r="K138" s="159" t="s">
        <v>356</v>
      </c>
      <c r="L138" s="159">
        <v>5.7500000000000002E-2</v>
      </c>
      <c r="M138" s="159" t="s">
        <v>338</v>
      </c>
    </row>
    <row r="139" spans="11:13" x14ac:dyDescent="0.2">
      <c r="K139" s="159" t="s">
        <v>357</v>
      </c>
      <c r="L139" s="159">
        <v>5.7500000000000002E-2</v>
      </c>
      <c r="M139" s="159" t="s">
        <v>338</v>
      </c>
    </row>
    <row r="140" spans="11:13" x14ac:dyDescent="0.2">
      <c r="K140" s="159" t="s">
        <v>358</v>
      </c>
      <c r="L140" s="159">
        <v>9.5000000000000001E-2</v>
      </c>
      <c r="M140" s="159" t="s">
        <v>338</v>
      </c>
    </row>
    <row r="141" spans="11:13" x14ac:dyDescent="0.2">
      <c r="K141" s="159" t="s">
        <v>359</v>
      </c>
      <c r="L141" s="159">
        <v>8.5999999999999993E-2</v>
      </c>
      <c r="M141" s="159" t="s">
        <v>338</v>
      </c>
    </row>
    <row r="142" spans="11:13" x14ac:dyDescent="0.2">
      <c r="K142" s="159" t="s">
        <v>360</v>
      </c>
      <c r="L142" s="159">
        <v>5.7500000000000002E-2</v>
      </c>
      <c r="M142" s="159" t="s">
        <v>338</v>
      </c>
    </row>
    <row r="143" spans="11:13" x14ac:dyDescent="0.2">
      <c r="K143" s="159" t="s">
        <v>361</v>
      </c>
      <c r="L143" s="159">
        <v>5.7500000000000002E-2</v>
      </c>
      <c r="M143" s="159" t="s">
        <v>338</v>
      </c>
    </row>
    <row r="144" spans="11:13" x14ac:dyDescent="0.2">
      <c r="K144" s="159" t="s">
        <v>362</v>
      </c>
      <c r="L144" s="159">
        <v>9.0499999999999997E-2</v>
      </c>
      <c r="M144" s="159" t="s">
        <v>338</v>
      </c>
    </row>
    <row r="145" spans="11:13" x14ac:dyDescent="0.2">
      <c r="K145" s="159" t="s">
        <v>363</v>
      </c>
      <c r="L145" s="159">
        <v>6.3500000000000001E-2</v>
      </c>
      <c r="M145" s="159" t="s">
        <v>338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L24" sqref="L24:P24"/>
    </sheetView>
  </sheetViews>
  <sheetFormatPr defaultRowHeight="15" x14ac:dyDescent="0.25"/>
  <cols>
    <col min="1" max="1" width="24" customWidth="1"/>
    <col min="2" max="3" width="9.7109375" customWidth="1"/>
    <col min="4" max="7" width="10.140625" customWidth="1"/>
    <col min="10" max="10" width="20" customWidth="1"/>
    <col min="11" max="11" width="11" customWidth="1"/>
    <col min="12" max="12" width="11.28515625" customWidth="1"/>
  </cols>
  <sheetData>
    <row r="1" spans="1:16" x14ac:dyDescent="0.25">
      <c r="A1" s="28"/>
      <c r="B1" s="28">
        <v>2009</v>
      </c>
      <c r="C1" s="28">
        <v>2010</v>
      </c>
      <c r="D1" s="28">
        <v>2011</v>
      </c>
      <c r="E1" s="28">
        <v>2012</v>
      </c>
      <c r="F1" s="28">
        <v>2013</v>
      </c>
      <c r="G1" s="28">
        <v>2014</v>
      </c>
      <c r="H1" s="28"/>
      <c r="I1" s="28"/>
      <c r="J1" s="158" t="s">
        <v>156</v>
      </c>
      <c r="K1" s="158"/>
      <c r="L1" s="158"/>
      <c r="M1" s="158"/>
      <c r="N1" s="158"/>
      <c r="O1" s="158"/>
      <c r="P1" s="28"/>
    </row>
    <row r="2" spans="1:16" x14ac:dyDescent="0.25">
      <c r="A2" s="29" t="s">
        <v>142</v>
      </c>
      <c r="B2" s="30">
        <f>+forecast!B13</f>
        <v>36149</v>
      </c>
      <c r="C2" s="30">
        <f>+forecast!C13</f>
        <v>38063</v>
      </c>
      <c r="D2" s="30">
        <f>+forecast!D13</f>
        <v>40893</v>
      </c>
      <c r="E2" s="30">
        <f>+forecast!E13</f>
        <v>42278</v>
      </c>
      <c r="F2" s="30">
        <f>+forecast!F13</f>
        <v>45041</v>
      </c>
      <c r="G2" s="30">
        <f>+forecast!G13</f>
        <v>48814</v>
      </c>
      <c r="H2" s="28"/>
      <c r="I2" s="28"/>
      <c r="J2" s="41"/>
      <c r="K2" s="41" t="s">
        <v>157</v>
      </c>
      <c r="L2" s="41" t="s">
        <v>158</v>
      </c>
      <c r="M2" s="41" t="s">
        <v>159</v>
      </c>
      <c r="N2" s="41" t="s">
        <v>160</v>
      </c>
      <c r="O2" s="41" t="s">
        <v>161</v>
      </c>
      <c r="P2" s="28"/>
    </row>
    <row r="3" spans="1:16" x14ac:dyDescent="0.25">
      <c r="A3" s="29" t="s">
        <v>144</v>
      </c>
      <c r="B3" s="32">
        <f>+BS!B22</f>
        <v>63117</v>
      </c>
      <c r="C3" s="32">
        <f>+BS!C22</f>
        <v>69206</v>
      </c>
      <c r="D3" s="32">
        <f>+BS!D22</f>
        <v>72124</v>
      </c>
      <c r="E3" s="32">
        <f>+BS!E22</f>
        <v>74898</v>
      </c>
      <c r="F3" s="32">
        <f>+BS!F22</f>
        <v>81241</v>
      </c>
      <c r="G3" s="32">
        <f>+BS!G22</f>
        <v>84186</v>
      </c>
      <c r="H3" s="28"/>
      <c r="I3" s="28"/>
      <c r="J3" s="43">
        <v>2014</v>
      </c>
      <c r="K3" s="45">
        <f>+G6</f>
        <v>2164</v>
      </c>
      <c r="L3" s="44">
        <f>+G8</f>
        <v>12676</v>
      </c>
      <c r="M3" s="43">
        <f>SUM(K3:L3)</f>
        <v>14840</v>
      </c>
      <c r="N3" s="43"/>
      <c r="O3" s="43"/>
      <c r="P3" s="28"/>
    </row>
    <row r="4" spans="1:16" x14ac:dyDescent="0.25">
      <c r="A4" s="28" t="s">
        <v>146</v>
      </c>
      <c r="B4" s="34">
        <f>B2/B3</f>
        <v>0.57273000934771934</v>
      </c>
      <c r="C4" s="34">
        <f t="shared" ref="C4:G4" si="0">C2/C3</f>
        <v>0.54999566511574138</v>
      </c>
      <c r="D4" s="34">
        <f t="shared" si="0"/>
        <v>0.56698186456657973</v>
      </c>
      <c r="E4" s="34">
        <f t="shared" si="0"/>
        <v>0.56447435178509442</v>
      </c>
      <c r="F4" s="34">
        <f t="shared" si="0"/>
        <v>0.55441218104159229</v>
      </c>
      <c r="G4" s="34">
        <f t="shared" si="0"/>
        <v>0.57983512698073314</v>
      </c>
      <c r="H4" s="28"/>
      <c r="I4" s="28"/>
      <c r="J4" s="43">
        <v>2015</v>
      </c>
      <c r="K4" s="44">
        <f>+C29*B37</f>
        <v>2452.2820190661464</v>
      </c>
      <c r="L4" s="45">
        <f>C29*B38</f>
        <v>14364.661217043657</v>
      </c>
      <c r="M4" s="45">
        <f>SUM(K4:L4)</f>
        <v>16816.943236109804</v>
      </c>
      <c r="N4" s="45">
        <f>AVERAGE(M3:M4)</f>
        <v>15828.471618054902</v>
      </c>
      <c r="O4" s="45">
        <f>N4*$B$39</f>
        <v>319.52558745592842</v>
      </c>
      <c r="P4" s="28"/>
    </row>
    <row r="5" spans="1:16" x14ac:dyDescent="0.25">
      <c r="A5" s="28"/>
      <c r="B5" s="37"/>
      <c r="C5" s="37"/>
      <c r="D5" s="37"/>
      <c r="E5" s="37"/>
      <c r="F5" s="37"/>
      <c r="G5" s="38"/>
      <c r="H5" s="28"/>
      <c r="I5" s="28"/>
      <c r="J5" s="43">
        <v>2016</v>
      </c>
      <c r="K5" s="44">
        <f>+D29*B37</f>
        <v>2701.9606349885726</v>
      </c>
      <c r="L5" s="45">
        <f>D29*B38</f>
        <v>15827.196399775947</v>
      </c>
      <c r="M5" s="45">
        <f t="shared" ref="M5:M8" si="1">SUM(K5:L5)</f>
        <v>18529.157034764517</v>
      </c>
      <c r="N5" s="45">
        <f t="shared" ref="N5:N7" si="2">AVERAGE(M4:M5)</f>
        <v>17673.050135437159</v>
      </c>
      <c r="O5" s="45">
        <f>N5*$B$39</f>
        <v>356.76165475271387</v>
      </c>
      <c r="P5" s="28"/>
    </row>
    <row r="6" spans="1:16" x14ac:dyDescent="0.25">
      <c r="A6" s="29" t="s">
        <v>157</v>
      </c>
      <c r="B6" s="30">
        <f>+BS!B25</f>
        <v>1206</v>
      </c>
      <c r="C6" s="30">
        <f>+BS!C25</f>
        <v>2350</v>
      </c>
      <c r="D6" s="30">
        <f>+BS!D25</f>
        <v>3055</v>
      </c>
      <c r="E6" s="30">
        <f>+BS!E25</f>
        <v>3614</v>
      </c>
      <c r="F6" s="30">
        <f>+BS!F25</f>
        <v>1512</v>
      </c>
      <c r="G6" s="30">
        <f>+BS!G25</f>
        <v>2164</v>
      </c>
      <c r="H6" s="28"/>
      <c r="I6" s="28"/>
      <c r="J6" s="43">
        <v>2017</v>
      </c>
      <c r="K6" s="44">
        <f>+E29*B37</f>
        <v>2839.7217342056961</v>
      </c>
      <c r="L6" s="45">
        <f>E29*B38</f>
        <v>16634.155592787152</v>
      </c>
      <c r="M6" s="45">
        <f t="shared" si="1"/>
        <v>19473.87732699285</v>
      </c>
      <c r="N6" s="45">
        <f t="shared" si="2"/>
        <v>19001.517180878684</v>
      </c>
      <c r="O6" s="45">
        <f>N6*$B$39</f>
        <v>383.57910266261558</v>
      </c>
      <c r="P6" s="28"/>
    </row>
    <row r="7" spans="1:16" x14ac:dyDescent="0.25">
      <c r="A7" s="28" t="s">
        <v>162</v>
      </c>
      <c r="B7" s="42">
        <f t="shared" ref="B7:G7" si="3">B6/B3</f>
        <v>1.9107372023385142E-2</v>
      </c>
      <c r="C7" s="42">
        <f t="shared" si="3"/>
        <v>3.3956593358957315E-2</v>
      </c>
      <c r="D7" s="42">
        <f t="shared" si="3"/>
        <v>4.2357606344628693E-2</v>
      </c>
      <c r="E7" s="42">
        <f t="shared" si="3"/>
        <v>4.8252289780768509E-2</v>
      </c>
      <c r="F7" s="42">
        <f t="shared" si="3"/>
        <v>1.8611292327765538E-2</v>
      </c>
      <c r="G7" s="42">
        <f t="shared" si="3"/>
        <v>2.570498657734065E-2</v>
      </c>
      <c r="H7" s="28"/>
      <c r="I7" s="28"/>
      <c r="J7" s="43">
        <v>2018</v>
      </c>
      <c r="K7" s="44">
        <f>+F29*B37</f>
        <v>2987.2595008883227</v>
      </c>
      <c r="L7" s="45">
        <f>F29*B38</f>
        <v>17498.383287088898</v>
      </c>
      <c r="M7" s="45">
        <f t="shared" si="1"/>
        <v>20485.64278797722</v>
      </c>
      <c r="N7" s="45">
        <f t="shared" si="2"/>
        <v>19979.760057485037</v>
      </c>
      <c r="O7" s="45">
        <f>N7*$B$39</f>
        <v>403.32665867210937</v>
      </c>
      <c r="P7" s="28"/>
    </row>
    <row r="8" spans="1:16" x14ac:dyDescent="0.25">
      <c r="A8" s="29" t="s">
        <v>158</v>
      </c>
      <c r="B8" s="39">
        <f>+BS!B28</f>
        <v>11495</v>
      </c>
      <c r="C8" s="39">
        <f>+BS!C28</f>
        <v>10130</v>
      </c>
      <c r="D8" s="39">
        <f>+BS!D28</f>
        <v>10922</v>
      </c>
      <c r="E8" s="39">
        <f>+BS!E28</f>
        <v>10697</v>
      </c>
      <c r="F8" s="39">
        <f>+BS!F28</f>
        <v>12776</v>
      </c>
      <c r="G8" s="39">
        <f>+BS!G28</f>
        <v>12676</v>
      </c>
      <c r="H8" s="28"/>
      <c r="I8" s="28"/>
      <c r="J8" s="43">
        <v>2019</v>
      </c>
      <c r="K8" s="44">
        <f>+G29*B37</f>
        <v>3145.4234116118514</v>
      </c>
      <c r="L8" s="45">
        <f>G29*B38</f>
        <v>18424.855436964797</v>
      </c>
      <c r="M8" s="45">
        <f t="shared" si="1"/>
        <v>21570.27884857665</v>
      </c>
      <c r="N8" s="45">
        <f>AVERAGE(M7:M8)</f>
        <v>21027.960818276937</v>
      </c>
      <c r="O8" s="45">
        <f>N8*$B$39</f>
        <v>424.48643783118786</v>
      </c>
      <c r="P8" s="28"/>
    </row>
    <row r="9" spans="1:16" x14ac:dyDescent="0.25">
      <c r="A9" s="28" t="s">
        <v>162</v>
      </c>
      <c r="B9" s="52">
        <f t="shared" ref="B9:G9" si="4">B8/B3</f>
        <v>0.18212209072040814</v>
      </c>
      <c r="C9" s="52">
        <f t="shared" si="4"/>
        <v>0.14637459179839898</v>
      </c>
      <c r="D9" s="52">
        <f t="shared" si="4"/>
        <v>0.15143364206089513</v>
      </c>
      <c r="E9" s="52">
        <f t="shared" si="4"/>
        <v>0.14282090309487569</v>
      </c>
      <c r="F9" s="52">
        <f t="shared" si="4"/>
        <v>0.15726049654730986</v>
      </c>
      <c r="G9" s="52">
        <f t="shared" si="4"/>
        <v>0.15057135390682536</v>
      </c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51" t="s">
        <v>163</v>
      </c>
      <c r="B10" s="38">
        <f>B6+B8</f>
        <v>12701</v>
      </c>
      <c r="C10" s="38">
        <f t="shared" ref="C10:F10" si="5">C6+C8</f>
        <v>12480</v>
      </c>
      <c r="D10" s="38">
        <f t="shared" si="5"/>
        <v>13977</v>
      </c>
      <c r="E10" s="38">
        <f t="shared" si="5"/>
        <v>14311</v>
      </c>
      <c r="F10" s="38">
        <f t="shared" si="5"/>
        <v>14288</v>
      </c>
      <c r="G10" s="38">
        <f t="shared" ref="G10" si="6">G6+G8</f>
        <v>14840</v>
      </c>
      <c r="H10" s="28"/>
      <c r="I10" s="28"/>
    </row>
    <row r="11" spans="1:16" x14ac:dyDescent="0.25">
      <c r="A11" s="28"/>
      <c r="B11" s="28"/>
      <c r="C11" s="28"/>
      <c r="D11" s="28"/>
      <c r="E11" s="28"/>
      <c r="F11" s="28"/>
      <c r="G11" s="28"/>
      <c r="H11" s="28"/>
      <c r="I11" s="28"/>
    </row>
    <row r="12" spans="1:16" x14ac:dyDescent="0.25">
      <c r="A12" s="28" t="s">
        <v>164</v>
      </c>
      <c r="B12" s="28"/>
      <c r="C12" s="28"/>
      <c r="D12" s="28"/>
      <c r="E12" s="28"/>
      <c r="F12" s="29"/>
      <c r="G12" s="29">
        <v>294</v>
      </c>
      <c r="H12" s="28"/>
      <c r="I12" s="28"/>
    </row>
    <row r="13" spans="1:16" x14ac:dyDescent="0.25">
      <c r="H13" s="28"/>
      <c r="I13" s="28"/>
    </row>
    <row r="14" spans="1:16" x14ac:dyDescent="0.25">
      <c r="A14" s="28"/>
      <c r="C14" s="28"/>
      <c r="D14" s="28"/>
      <c r="E14" s="28"/>
      <c r="F14" s="29"/>
      <c r="G14" s="37"/>
      <c r="H14" s="28"/>
      <c r="I14" s="28"/>
    </row>
    <row r="15" spans="1:16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157" t="s">
        <v>141</v>
      </c>
      <c r="K15" s="157"/>
      <c r="L15" s="157"/>
      <c r="M15" s="157"/>
      <c r="N15" s="157"/>
      <c r="O15" s="157"/>
      <c r="P15" s="157"/>
    </row>
    <row r="16" spans="1:16" x14ac:dyDescent="0.25">
      <c r="A16" s="29" t="s">
        <v>148</v>
      </c>
      <c r="B16" s="39">
        <f>+BS!B18</f>
        <v>17597</v>
      </c>
      <c r="C16" s="39">
        <f>+BS!C18</f>
        <v>17806</v>
      </c>
      <c r="D16" s="39">
        <f>+BS!D18</f>
        <v>19695</v>
      </c>
      <c r="E16" s="39">
        <f>+BS!E18</f>
        <v>21512</v>
      </c>
      <c r="F16" s="39">
        <f>+BS!F18</f>
        <v>22380</v>
      </c>
      <c r="G16" s="39">
        <f>+BS!G18</f>
        <v>23332</v>
      </c>
      <c r="H16" s="28"/>
      <c r="I16" s="28"/>
      <c r="J16" s="31"/>
      <c r="K16" s="31" t="s">
        <v>143</v>
      </c>
      <c r="L16" s="31"/>
      <c r="M16" s="31"/>
      <c r="N16" s="31"/>
      <c r="O16" s="31"/>
      <c r="P16" s="31"/>
    </row>
    <row r="17" spans="1:16" x14ac:dyDescent="0.25">
      <c r="A17" s="29" t="s">
        <v>152</v>
      </c>
      <c r="B17" s="50">
        <f>+CF!B22</f>
        <v>-1753</v>
      </c>
      <c r="C17" s="50">
        <f>+CF!C22</f>
        <v>-2110</v>
      </c>
      <c r="D17" s="50">
        <f>+CF!D22</f>
        <v>-3559</v>
      </c>
      <c r="E17" s="50">
        <f>+CF!E22</f>
        <v>-3784</v>
      </c>
      <c r="F17" s="50">
        <f>+CF!F22</f>
        <v>-2796</v>
      </c>
      <c r="G17" s="50">
        <f>+CF!G22</f>
        <v>-3311</v>
      </c>
      <c r="H17" s="28"/>
      <c r="I17" s="28"/>
      <c r="J17" s="33"/>
      <c r="K17" s="33" t="s">
        <v>145</v>
      </c>
      <c r="L17" s="33">
        <v>2015</v>
      </c>
      <c r="M17" s="33">
        <v>2016</v>
      </c>
      <c r="N17" s="33">
        <v>2017</v>
      </c>
      <c r="O17" s="33">
        <v>2018</v>
      </c>
      <c r="P17" s="33">
        <v>2019</v>
      </c>
    </row>
    <row r="18" spans="1:16" x14ac:dyDescent="0.25">
      <c r="A18" s="28" t="s">
        <v>150</v>
      </c>
      <c r="B18" s="37">
        <f t="shared" ref="B18:G18" si="7">-B17/B2</f>
        <v>4.8493734266508062E-2</v>
      </c>
      <c r="C18" s="37">
        <f t="shared" si="7"/>
        <v>5.543441137062239E-2</v>
      </c>
      <c r="D18" s="37">
        <f t="shared" si="7"/>
        <v>8.7032010368522733E-2</v>
      </c>
      <c r="E18" s="37">
        <f t="shared" si="7"/>
        <v>8.9502814702682246E-2</v>
      </c>
      <c r="F18" s="37">
        <f t="shared" si="7"/>
        <v>6.207677449434959E-2</v>
      </c>
      <c r="G18" s="37">
        <f t="shared" si="7"/>
        <v>6.7828901544638831E-2</v>
      </c>
      <c r="H18" s="28"/>
      <c r="I18" s="28"/>
      <c r="J18" s="31" t="s">
        <v>147</v>
      </c>
      <c r="K18" s="35">
        <f>+G16</f>
        <v>23332</v>
      </c>
      <c r="L18" s="36">
        <f>$K$18/$B$33</f>
        <v>2335.6499824991247</v>
      </c>
      <c r="M18" s="36">
        <f>$K$18/$B$33</f>
        <v>2335.6499824991247</v>
      </c>
      <c r="N18" s="36">
        <f>$K$18/$B$33</f>
        <v>2335.6499824991247</v>
      </c>
      <c r="O18" s="36">
        <f>$K$18/$B$33</f>
        <v>2335.6499824991247</v>
      </c>
      <c r="P18" s="36">
        <f>$K$18/$B$33</f>
        <v>2335.6499824991247</v>
      </c>
    </row>
    <row r="19" spans="1:1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31" t="s">
        <v>149</v>
      </c>
      <c r="K19" s="31">
        <f>C28*B35</f>
        <v>3736.0022000000008</v>
      </c>
      <c r="L19" s="35">
        <f>$K$19/$B$33</f>
        <v>373.99251984599238</v>
      </c>
      <c r="M19" s="35">
        <f>$K$19/$B$33</f>
        <v>373.99251984599238</v>
      </c>
      <c r="N19" s="35">
        <f>$K$19/$B$33</f>
        <v>373.99251984599238</v>
      </c>
      <c r="O19" s="35">
        <f>$K$19/$B$33</f>
        <v>373.99251984599238</v>
      </c>
      <c r="P19" s="35">
        <f>$K$19/$B$33</f>
        <v>373.99251984599238</v>
      </c>
    </row>
    <row r="20" spans="1:16" x14ac:dyDescent="0.25">
      <c r="A20" s="29" t="s">
        <v>155</v>
      </c>
      <c r="B20" s="29"/>
      <c r="C20" s="29"/>
      <c r="D20" s="29"/>
      <c r="E20" s="29"/>
      <c r="F20" s="29"/>
      <c r="G20" s="30">
        <f>+CF!G5</f>
        <v>2288</v>
      </c>
      <c r="H20" s="28"/>
      <c r="I20" s="28"/>
      <c r="J20" s="31" t="s">
        <v>151</v>
      </c>
      <c r="K20" s="31">
        <f>D28*B35</f>
        <v>4116.382536000001</v>
      </c>
      <c r="L20" s="31"/>
      <c r="M20" s="35">
        <f>$K$20/$B$33</f>
        <v>412.070495378369</v>
      </c>
      <c r="N20" s="35">
        <f>$K$20/$B$33</f>
        <v>412.070495378369</v>
      </c>
      <c r="O20" s="35">
        <f>$K$20/$B$33</f>
        <v>412.070495378369</v>
      </c>
      <c r="P20" s="35">
        <f>$K$20/$B$33</f>
        <v>412.070495378369</v>
      </c>
    </row>
    <row r="21" spans="1:16" x14ac:dyDescent="0.25">
      <c r="H21" s="28"/>
      <c r="I21" s="28"/>
      <c r="J21" s="31" t="s">
        <v>153</v>
      </c>
      <c r="K21" s="31">
        <f>E28*B35</f>
        <v>4326.2587923800011</v>
      </c>
      <c r="L21" s="31"/>
      <c r="M21" s="31"/>
      <c r="N21" s="35">
        <f>$K$21/$B$33</f>
        <v>433.08015912519437</v>
      </c>
      <c r="O21" s="35">
        <f>$K$21/$B$33</f>
        <v>433.08015912519437</v>
      </c>
      <c r="P21" s="35">
        <f>$K$21/$B$33</f>
        <v>433.08015912519437</v>
      </c>
    </row>
    <row r="22" spans="1:16" x14ac:dyDescent="0.25">
      <c r="H22" s="28"/>
      <c r="I22" s="28"/>
      <c r="J22" s="31" t="s">
        <v>154</v>
      </c>
      <c r="K22" s="31">
        <f>F28*B35</f>
        <v>4551.0296044741517</v>
      </c>
      <c r="L22" s="31"/>
      <c r="M22" s="31"/>
      <c r="N22" s="31"/>
      <c r="O22" s="35">
        <f>$K$22/$B$33</f>
        <v>455.58084244998508</v>
      </c>
      <c r="P22" s="35">
        <f>$K$22/$B$33</f>
        <v>455.58084244998508</v>
      </c>
    </row>
    <row r="23" spans="1:16" x14ac:dyDescent="0.25">
      <c r="H23" s="28"/>
      <c r="I23" s="28"/>
      <c r="J23" s="33" t="s">
        <v>171</v>
      </c>
      <c r="K23" s="33">
        <f>G28*B35</f>
        <v>4791.9891327133737</v>
      </c>
      <c r="L23" s="33"/>
      <c r="M23" s="33"/>
      <c r="N23" s="33"/>
      <c r="O23" s="33"/>
      <c r="P23" s="40">
        <f>K23/B33</f>
        <v>479.70209728947316</v>
      </c>
    </row>
    <row r="24" spans="1:16" x14ac:dyDescent="0.25">
      <c r="H24" s="28"/>
      <c r="I24" s="28"/>
      <c r="J24" s="31" t="s">
        <v>155</v>
      </c>
      <c r="K24" s="31"/>
      <c r="L24" s="36">
        <f>SUM(L18:L23)</f>
        <v>2709.642502345117</v>
      </c>
      <c r="M24" s="36">
        <f>SUM(M18:M23)</f>
        <v>3121.7129977234858</v>
      </c>
      <c r="N24" s="36">
        <f>SUM(N18:N23)</f>
        <v>3554.7931568486802</v>
      </c>
      <c r="O24" s="36">
        <f>SUM(O18:O23)</f>
        <v>4010.3739992986652</v>
      </c>
      <c r="P24" s="36">
        <f>SUM(P18:P23)</f>
        <v>4490.0760965881382</v>
      </c>
    </row>
    <row r="25" spans="1:16" x14ac:dyDescent="0.25"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8"/>
      <c r="C27" s="28">
        <v>2014</v>
      </c>
      <c r="D27" s="28">
        <v>2015</v>
      </c>
      <c r="E27" s="28">
        <v>2016</v>
      </c>
      <c r="F27" s="28">
        <v>2017</v>
      </c>
      <c r="G27" s="28">
        <v>2018</v>
      </c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 t="s">
        <v>165</v>
      </c>
      <c r="C28" s="34">
        <f>+forecast!H13</f>
        <v>53371.460000000006</v>
      </c>
      <c r="D28" s="34">
        <f>+forecast!I13</f>
        <v>58805.464800000009</v>
      </c>
      <c r="E28" s="34">
        <f>+forecast!J13</f>
        <v>61803.697034000012</v>
      </c>
      <c r="F28" s="34">
        <f>+forecast!K13</f>
        <v>65014.708635345014</v>
      </c>
      <c r="G28" s="34">
        <f>+forecast!L13</f>
        <v>68456.987610191049</v>
      </c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 t="s">
        <v>166</v>
      </c>
      <c r="C29" s="46">
        <f t="shared" ref="C29:G29" si="8">C28/$B$34</f>
        <v>95401.023131747977</v>
      </c>
      <c r="D29" s="46">
        <f t="shared" si="8"/>
        <v>105114.2597121756</v>
      </c>
      <c r="E29" s="46">
        <f t="shared" si="8"/>
        <v>110473.57389826281</v>
      </c>
      <c r="F29" s="46">
        <f t="shared" si="8"/>
        <v>116213.22936311661</v>
      </c>
      <c r="G29" s="46">
        <f t="shared" si="8"/>
        <v>122366.27325783517</v>
      </c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C30" s="46"/>
      <c r="D30" s="47"/>
      <c r="E30" s="47"/>
      <c r="F30" s="47"/>
      <c r="G30" s="47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/>
      <c r="B31" s="46"/>
      <c r="C31" s="47"/>
      <c r="D31" s="47"/>
      <c r="E31" s="47"/>
      <c r="F31" s="47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8" t="s">
        <v>167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8" t="s">
        <v>169</v>
      </c>
      <c r="B33" s="38">
        <f>AVERAGE(F16:G16)/G20</f>
        <v>9.98951048951049</v>
      </c>
      <c r="C33" s="28"/>
      <c r="D33" s="28"/>
      <c r="E33" s="28"/>
      <c r="F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28" t="s">
        <v>146</v>
      </c>
      <c r="B34" s="49">
        <f>AVERAGE(E4:F4)</f>
        <v>0.5594432664133433</v>
      </c>
      <c r="C34" s="28" t="s">
        <v>168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8" t="s">
        <v>152</v>
      </c>
      <c r="B35" s="48">
        <v>7.0000000000000007E-2</v>
      </c>
      <c r="C35" s="28" t="s">
        <v>172</v>
      </c>
      <c r="D35" s="28"/>
      <c r="E35" s="28"/>
      <c r="F35" s="28"/>
      <c r="G35" s="28"/>
      <c r="J35" s="28"/>
      <c r="K35" s="28"/>
      <c r="L35" s="28"/>
      <c r="M35" s="28"/>
      <c r="N35" s="28"/>
      <c r="O35" s="28"/>
    </row>
    <row r="36" spans="1:16" x14ac:dyDescent="0.25">
      <c r="C36" s="28"/>
      <c r="D36" s="28"/>
      <c r="E36" s="28"/>
      <c r="F36" s="28"/>
      <c r="G36" s="28"/>
    </row>
    <row r="37" spans="1:16" x14ac:dyDescent="0.25">
      <c r="A37" s="28" t="s">
        <v>157</v>
      </c>
      <c r="B37" s="48">
        <f>+G7</f>
        <v>2.570498657734065E-2</v>
      </c>
      <c r="C37" s="28"/>
      <c r="D37" s="28"/>
      <c r="E37" s="28"/>
      <c r="F37" s="28"/>
      <c r="G37" s="28"/>
    </row>
    <row r="38" spans="1:16" x14ac:dyDescent="0.25">
      <c r="A38" s="28" t="s">
        <v>158</v>
      </c>
      <c r="B38" s="52">
        <f>G9</f>
        <v>0.15057135390682536</v>
      </c>
      <c r="C38" s="28" t="s">
        <v>173</v>
      </c>
      <c r="D38" s="28"/>
      <c r="E38" s="28"/>
      <c r="F38" s="28"/>
      <c r="G38" s="28"/>
    </row>
    <row r="39" spans="1:16" x14ac:dyDescent="0.25">
      <c r="A39" s="28" t="s">
        <v>170</v>
      </c>
      <c r="B39" s="37">
        <f>G12/AVERAGE(F10:G10)</f>
        <v>2.018676187860478E-2</v>
      </c>
      <c r="C39" s="28"/>
      <c r="D39" s="28"/>
      <c r="E39" s="28"/>
      <c r="F39" s="29"/>
    </row>
  </sheetData>
  <mergeCells count="2">
    <mergeCell ref="J15:P15"/>
    <mergeCell ref="J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BS</vt:lpstr>
      <vt:lpstr>CF</vt:lpstr>
      <vt:lpstr>working</vt:lpstr>
      <vt:lpstr>forecast</vt:lpstr>
      <vt:lpstr>Sheet1</vt:lpstr>
      <vt:lpstr>int exp + dep forecast</vt:lpstr>
    </vt:vector>
  </TitlesOfParts>
  <Company>Anderson School of Management, UNM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Anne Majadillas</dc:creator>
  <cp:lastModifiedBy>University of New Mexico</cp:lastModifiedBy>
  <dcterms:created xsi:type="dcterms:W3CDTF">2015-02-04T22:47:20Z</dcterms:created>
  <dcterms:modified xsi:type="dcterms:W3CDTF">2015-10-12T19:19:54Z</dcterms:modified>
</cp:coreProperties>
</file>